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75" windowWidth="12120" windowHeight="5595" activeTab="0"/>
  </bookViews>
  <sheets>
    <sheet name="Началка-общая" sheetId="1" r:id="rId1"/>
    <sheet name="Началка-инклюзия" sheetId="2" r:id="rId2"/>
    <sheet name="Началка-надомники все" sheetId="3" r:id="rId3"/>
    <sheet name="Свод " sheetId="4" r:id="rId4"/>
  </sheets>
  <definedNames>
    <definedName name="_xlnm.Print_Titles" localSheetId="1">'Началка-инклюзия'!$A:$B,'Началка-инклюзия'!$3:$6</definedName>
    <definedName name="_xlnm.Print_Titles" localSheetId="2">'Началка-надомники все'!$A:$B,'Началка-надомники все'!$3:$6</definedName>
    <definedName name="_xlnm.Print_Titles" localSheetId="0">'Началка-общая'!$A:$B,'Началка-общая'!$4:$7</definedName>
    <definedName name="_xlnm.Print_Titles" localSheetId="3">'Свод '!$A:$B,'Свод '!$1:$2</definedName>
    <definedName name="_xlnm.Print_Area" localSheetId="1">'Началка-инклюзия'!$A$1:$U$45</definedName>
    <definedName name="_xlnm.Print_Area" localSheetId="2">'Началка-надомники все'!$A$1:$AK$45</definedName>
    <definedName name="_xlnm.Print_Area" localSheetId="0">'Началка-общая'!$A$1:$AA$46</definedName>
    <definedName name="_xlnm.Print_Area" localSheetId="3">'Свод '!$A$1:$D$40</definedName>
  </definedNames>
  <calcPr fullCalcOnLoad="1"/>
</workbook>
</file>

<file path=xl/sharedStrings.xml><?xml version="1.0" encoding="utf-8"?>
<sst xmlns="http://schemas.openxmlformats.org/spreadsheetml/2006/main" count="344" uniqueCount="87">
  <si>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</si>
  <si>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</si>
  <si>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</si>
  <si>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</si>
  <si>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обучающиеся с ОВЗ на дому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</si>
  <si>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</si>
  <si>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</si>
  <si>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</si>
  <si>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</si>
  <si>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</si>
  <si>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</si>
  <si>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</si>
  <si>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</si>
  <si>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</si>
  <si>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</si>
  <si>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</si>
  <si>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дети-инвалиды и инвалиды с нарушением ОДА</t>
  </si>
  <si>
    <t>в том числе:</t>
  </si>
  <si>
    <t>Базовый норматив затрат,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</si>
  <si>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</si>
  <si>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</si>
  <si>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</si>
  <si>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обучение в классе-адаптировапнные основные образовательные программы</t>
  </si>
  <si>
    <t>дети-инвалиды и инвалидов, за исключением детей-инвалидов и инвалидов с  нарушением ОДА, слепых и слабовидящих</t>
  </si>
  <si>
    <t>обучение на дому-основные образовательные программы</t>
  </si>
  <si>
    <t>обучение в классе-основные образовательные программы</t>
  </si>
  <si>
    <t>обучение на дому-адаптированные основные образовательные программы</t>
  </si>
  <si>
    <t>дети-инвалиды на дому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</si>
  <si>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</si>
  <si>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обучение на дому- адаптированные основные образовательные программы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</si>
  <si>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обучающимся с ОВЗ в классах с инклюзивным образованием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</si>
  <si>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</si>
  <si>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</si>
  <si>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</si>
  <si>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</si>
  <si>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</si>
  <si>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</si>
  <si>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</si>
  <si>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</si>
  <si>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</si>
  <si>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</si>
  <si>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</si>
  <si>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</si>
  <si>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</si>
  <si>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</si>
  <si>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</si>
  <si>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</si>
  <si>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</si>
  <si>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</si>
  <si>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</si>
  <si>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</si>
  <si>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</si>
  <si>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</si>
  <si>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</si>
  <si>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</si>
  <si>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</si>
  <si>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</si>
  <si>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</si>
  <si>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</si>
  <si>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</si>
  <si>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</si>
  <si>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</si>
  <si>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</si>
  <si>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</si>
  <si>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</si>
  <si>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</si>
  <si>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</si>
  <si>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</si>
  <si>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</si>
  <si>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</si>
  <si>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</si>
  <si>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</si>
  <si>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дети-инвалиды и инвалиды слепые и слабовидящие, дети -инвалиды и инвалиды с нарушением ОДА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</si>
  <si>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</si>
  <si>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Отраслевой  корректирующий коэффициент к базовым нормативам затрат, учитывающие  отклонение средней наполняемости классов (классов-комплектов) от  расчетной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</si>
  <si>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</si>
  <si>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</si>
  <si>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</si>
  <si>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Реализация  основных образовательных программ начального общего образования по очной форме обучения при обучении на дому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</si>
  <si>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начального общего образования в части затрат, непосредственно связанных с оказанием муниципальной услуги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</si>
  <si>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</si>
  <si>
    <t>Финансовое обеспечение  муниципальной услуги в части затрат, непосредственно связанных с оказанием муниципальной услуги, в расчете на 4 месяца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</si>
  <si>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в расчете на 4 месяца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</si>
  <si>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начального общего образования, в расчете на 4 месяца, тыс. руб.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</si>
  <si>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начального общего образования, в расчете на 4 месяца, тыс. руб.</t>
  </si>
  <si>
    <t>Приложение №1</t>
  </si>
  <si>
    <t>2022 год - расчет финансового обеспечения  муниципальной услуги по реализации основных общеобразовательных программ начального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 сентябрь-декабрь 2022 года по состоянию на 19.12.2022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</si>
</sst>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54" applyFont="1" applyFill="1" applyAlignment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177" fontId="10" fillId="0" borderId="10" xfId="54" applyNumberFormat="1" applyFont="1" applyFill="1" applyBorder="1" applyAlignment="1">
      <alignment horizontal="center" vertical="center" wrapText="1"/>
      <protection/>
    </xf>
    <xf numFmtId="177" fontId="10" fillId="0" borderId="11" xfId="54" applyNumberFormat="1" applyFont="1" applyFill="1" applyBorder="1" applyAlignment="1">
      <alignment horizontal="center" vertical="center" wrapText="1"/>
      <protection/>
    </xf>
    <xf numFmtId="180" fontId="8" fillId="0" borderId="10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1" fontId="11" fillId="0" borderId="10" xfId="54" applyNumberFormat="1" applyFont="1" applyFill="1" applyBorder="1" applyAlignment="1">
      <alignment horizontal="center" wrapText="1"/>
      <protection/>
    </xf>
    <xf numFmtId="3" fontId="10" fillId="0" borderId="12" xfId="54" applyNumberFormat="1" applyFont="1" applyFill="1" applyBorder="1" applyAlignment="1">
      <alignment horizontal="center" wrapText="1"/>
      <protection/>
    </xf>
    <xf numFmtId="2" fontId="7" fillId="0" borderId="13" xfId="54" applyNumberFormat="1" applyFont="1" applyFill="1" applyBorder="1" applyAlignment="1">
      <alignment vertical="top" wrapText="1"/>
      <protection/>
    </xf>
    <xf numFmtId="2" fontId="7" fillId="0" borderId="14" xfId="54" applyNumberFormat="1" applyFont="1" applyFill="1" applyBorder="1" applyAlignment="1">
      <alignment vertical="top" wrapText="1"/>
      <protection/>
    </xf>
    <xf numFmtId="2" fontId="7" fillId="0" borderId="14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177" fontId="5" fillId="0" borderId="0" xfId="54" applyNumberFormat="1" applyFont="1" applyFill="1">
      <alignment/>
      <protection/>
    </xf>
    <xf numFmtId="177" fontId="13" fillId="0" borderId="11" xfId="54" applyNumberFormat="1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wrapText="1"/>
      <protection/>
    </xf>
    <xf numFmtId="3" fontId="10" fillId="0" borderId="15" xfId="54" applyNumberFormat="1" applyFont="1" applyFill="1" applyBorder="1" applyAlignment="1">
      <alignment horizontal="center" wrapText="1"/>
      <protection/>
    </xf>
    <xf numFmtId="180" fontId="10" fillId="0" borderId="10" xfId="0" applyNumberFormat="1" applyFont="1" applyFill="1" applyBorder="1" applyAlignment="1">
      <alignment horizontal="center" vertical="center" wrapText="1"/>
    </xf>
    <xf numFmtId="1" fontId="8" fillId="0" borderId="10" xfId="54" applyNumberFormat="1" applyFont="1" applyFill="1" applyBorder="1" applyAlignment="1">
      <alignment wrapText="1"/>
      <protection/>
    </xf>
    <xf numFmtId="0" fontId="14" fillId="0" borderId="0" xfId="54" applyFont="1" applyFill="1" applyBorder="1">
      <alignment/>
      <protection/>
    </xf>
    <xf numFmtId="180" fontId="14" fillId="0" borderId="16" xfId="0" applyNumberFormat="1" applyFont="1" applyFill="1" applyBorder="1" applyAlignment="1">
      <alignment vertical="center" wrapText="1"/>
    </xf>
    <xf numFmtId="180" fontId="14" fillId="0" borderId="0" xfId="0" applyNumberFormat="1" applyFont="1" applyFill="1" applyBorder="1" applyAlignment="1">
      <alignment vertical="center" wrapText="1"/>
    </xf>
    <xf numFmtId="0" fontId="16" fillId="0" borderId="0" xfId="54" applyFont="1" applyFill="1" applyBorder="1">
      <alignment/>
      <protection/>
    </xf>
    <xf numFmtId="0" fontId="16" fillId="0" borderId="0" xfId="54" applyFont="1" applyFill="1">
      <alignment/>
      <protection/>
    </xf>
    <xf numFmtId="0" fontId="16" fillId="0" borderId="17" xfId="54" applyFont="1" applyFill="1" applyBorder="1" applyAlignment="1">
      <alignment horizontal="center"/>
      <protection/>
    </xf>
    <xf numFmtId="180" fontId="16" fillId="0" borderId="18" xfId="54" applyNumberFormat="1" applyFont="1" applyFill="1" applyBorder="1" applyAlignment="1">
      <alignment horizontal="center"/>
      <protection/>
    </xf>
    <xf numFmtId="0" fontId="16" fillId="0" borderId="10" xfId="54" applyFont="1" applyFill="1" applyBorder="1" applyAlignment="1">
      <alignment horizontal="center"/>
      <protection/>
    </xf>
    <xf numFmtId="0" fontId="14" fillId="0" borderId="0" xfId="54" applyFont="1" applyFill="1">
      <alignment/>
      <protection/>
    </xf>
    <xf numFmtId="0" fontId="16" fillId="0" borderId="0" xfId="54" applyFont="1" applyFill="1" applyAlignment="1">
      <alignment/>
      <protection/>
    </xf>
    <xf numFmtId="0" fontId="16" fillId="0" borderId="0" xfId="54" applyFont="1" applyFill="1" applyAlignment="1">
      <alignment wrapText="1"/>
      <protection/>
    </xf>
    <xf numFmtId="180" fontId="16" fillId="0" borderId="0" xfId="54" applyNumberFormat="1" applyFont="1" applyFill="1" applyAlignment="1">
      <alignment horizontal="center"/>
      <protection/>
    </xf>
    <xf numFmtId="180" fontId="16" fillId="0" borderId="10" xfId="54" applyNumberFormat="1" applyFont="1" applyFill="1" applyBorder="1" applyAlignment="1">
      <alignment horizontal="center"/>
      <protection/>
    </xf>
    <xf numFmtId="0" fontId="16" fillId="0" borderId="0" xfId="54" applyFont="1" applyFill="1" applyBorder="1" applyAlignment="1">
      <alignment horizontal="center" vertical="top" wrapText="1"/>
      <protection/>
    </xf>
    <xf numFmtId="0" fontId="16" fillId="0" borderId="0" xfId="54" applyFont="1" applyFill="1" applyBorder="1" applyAlignment="1">
      <alignment vertical="top" wrapText="1"/>
      <protection/>
    </xf>
    <xf numFmtId="0" fontId="16" fillId="0" borderId="0" xfId="54" applyFont="1" applyFill="1" applyBorder="1" applyAlignment="1">
      <alignment horizontal="left"/>
      <protection/>
    </xf>
    <xf numFmtId="0" fontId="14" fillId="0" borderId="0" xfId="54" applyFont="1" applyFill="1" applyBorder="1" applyAlignment="1">
      <alignment vertical="top" wrapText="1"/>
      <protection/>
    </xf>
    <xf numFmtId="0" fontId="16" fillId="0" borderId="0" xfId="0" applyFont="1" applyFill="1" applyAlignment="1">
      <alignment/>
    </xf>
    <xf numFmtId="0" fontId="14" fillId="0" borderId="10" xfId="54" applyFont="1" applyFill="1" applyBorder="1" applyAlignment="1">
      <alignment horizontal="center" vertical="center"/>
      <protection/>
    </xf>
    <xf numFmtId="0" fontId="15" fillId="33" borderId="10" xfId="54" applyFont="1" applyFill="1" applyBorder="1" applyAlignment="1">
      <alignment horizontal="left" wrapText="1"/>
      <protection/>
    </xf>
    <xf numFmtId="0" fontId="15" fillId="33" borderId="10" xfId="54" applyFont="1" applyFill="1" applyBorder="1" applyAlignment="1">
      <alignment horizontal="left" wrapText="1"/>
      <protection/>
    </xf>
    <xf numFmtId="0" fontId="15" fillId="33" borderId="10" xfId="54" applyFont="1" applyFill="1" applyBorder="1" applyAlignment="1">
      <alignment wrapText="1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180" fontId="14" fillId="0" borderId="10" xfId="0" applyNumberFormat="1" applyFont="1" applyFill="1" applyBorder="1" applyAlignment="1">
      <alignment horizontal="center" vertical="center" wrapText="1"/>
    </xf>
    <xf numFmtId="2" fontId="14" fillId="0" borderId="19" xfId="54" applyNumberFormat="1" applyFont="1" applyFill="1" applyBorder="1" applyAlignment="1">
      <alignment vertical="top" wrapText="1"/>
      <protection/>
    </xf>
    <xf numFmtId="2" fontId="14" fillId="0" borderId="0" xfId="54" applyNumberFormat="1" applyFont="1" applyFill="1" applyBorder="1" applyAlignment="1">
      <alignment vertical="top" wrapText="1"/>
      <protection/>
    </xf>
    <xf numFmtId="0" fontId="16" fillId="0" borderId="10" xfId="54" applyFont="1" applyFill="1" applyBorder="1" applyAlignment="1">
      <alignment horizontal="center" vertical="top" wrapText="1"/>
      <protection/>
    </xf>
    <xf numFmtId="0" fontId="14" fillId="0" borderId="10" xfId="54" applyFont="1" applyFill="1" applyBorder="1" applyAlignment="1">
      <alignment vertical="top" wrapText="1"/>
      <protection/>
    </xf>
    <xf numFmtId="3" fontId="16" fillId="0" borderId="0" xfId="54" applyNumberFormat="1" applyFont="1" applyFill="1" applyBorder="1">
      <alignment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53" fillId="0" borderId="18" xfId="0" applyFont="1" applyFill="1" applyBorder="1" applyAlignment="1">
      <alignment horizontal="center" vertical="center" wrapText="1"/>
    </xf>
    <xf numFmtId="0" fontId="15" fillId="0" borderId="0" xfId="54" applyFont="1" applyFill="1" applyAlignment="1">
      <alignment horizontal="center"/>
      <protection/>
    </xf>
    <xf numFmtId="177" fontId="10" fillId="0" borderId="21" xfId="54" applyNumberFormat="1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54" fillId="0" borderId="17" xfId="54" applyFont="1" applyFill="1" applyBorder="1" applyAlignment="1">
      <alignment horizontal="center" wrapText="1"/>
      <protection/>
    </xf>
    <xf numFmtId="1" fontId="11" fillId="0" borderId="17" xfId="54" applyNumberFormat="1" applyFont="1" applyFill="1" applyBorder="1" applyAlignment="1">
      <alignment horizontal="center" wrapText="1"/>
      <protection/>
    </xf>
    <xf numFmtId="3" fontId="11" fillId="0" borderId="22" xfId="54" applyNumberFormat="1" applyFont="1" applyFill="1" applyBorder="1" applyAlignment="1">
      <alignment horizontal="center" wrapText="1"/>
      <protection/>
    </xf>
    <xf numFmtId="182" fontId="11" fillId="0" borderId="22" xfId="54" applyNumberFormat="1" applyFont="1" applyFill="1" applyBorder="1" applyAlignment="1">
      <alignment horizontal="center" wrapText="1"/>
      <protection/>
    </xf>
    <xf numFmtId="182" fontId="8" fillId="0" borderId="10" xfId="54" applyNumberFormat="1" applyFont="1" applyFill="1" applyBorder="1" applyAlignment="1">
      <alignment horizontal="center" wrapText="1"/>
      <protection/>
    </xf>
    <xf numFmtId="180" fontId="8" fillId="0" borderId="18" xfId="54" applyNumberFormat="1" applyFont="1" applyFill="1" applyBorder="1" applyAlignment="1">
      <alignment horizontal="center" wrapText="1"/>
      <protection/>
    </xf>
    <xf numFmtId="180" fontId="8" fillId="0" borderId="0" xfId="54" applyNumberFormat="1" applyFont="1" applyFill="1" applyBorder="1" applyAlignment="1">
      <alignment wrapText="1"/>
      <protection/>
    </xf>
    <xf numFmtId="0" fontId="8" fillId="0" borderId="0" xfId="54" applyFont="1" applyFill="1" applyBorder="1" applyAlignment="1">
      <alignment wrapText="1"/>
      <protection/>
    </xf>
    <xf numFmtId="0" fontId="5" fillId="0" borderId="10" xfId="54" applyFont="1" applyFill="1" applyBorder="1" applyAlignment="1">
      <alignment horizontal="center" wrapText="1"/>
      <protection/>
    </xf>
    <xf numFmtId="1" fontId="11" fillId="0" borderId="10" xfId="33" applyNumberFormat="1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180" fontId="12" fillId="0" borderId="0" xfId="54" applyNumberFormat="1" applyFont="1" applyFill="1" applyBorder="1" applyAlignment="1">
      <alignment wrapText="1"/>
      <protection/>
    </xf>
    <xf numFmtId="0" fontId="12" fillId="0" borderId="0" xfId="54" applyFont="1" applyFill="1" applyBorder="1" applyAlignment="1">
      <alignment wrapText="1"/>
      <protection/>
    </xf>
    <xf numFmtId="0" fontId="12" fillId="0" borderId="0" xfId="54" applyFont="1" applyFill="1" applyAlignment="1">
      <alignment wrapText="1"/>
      <protection/>
    </xf>
    <xf numFmtId="182" fontId="11" fillId="0" borderId="18" xfId="54" applyNumberFormat="1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wrapText="1"/>
      <protection/>
    </xf>
    <xf numFmtId="3" fontId="11" fillId="0" borderId="10" xfId="54" applyNumberFormat="1" applyFont="1" applyFill="1" applyBorder="1" applyAlignment="1">
      <alignment horizontal="center" wrapText="1"/>
      <protection/>
    </xf>
    <xf numFmtId="0" fontId="5" fillId="0" borderId="23" xfId="54" applyFont="1" applyFill="1" applyBorder="1" applyAlignment="1">
      <alignment wrapText="1"/>
      <protection/>
    </xf>
    <xf numFmtId="3" fontId="11" fillId="0" borderId="23" xfId="54" applyNumberFormat="1" applyFont="1" applyFill="1" applyBorder="1" applyAlignment="1">
      <alignment horizontal="center" wrapText="1"/>
      <protection/>
    </xf>
    <xf numFmtId="0" fontId="5" fillId="0" borderId="24" xfId="54" applyFont="1" applyFill="1" applyBorder="1" applyAlignment="1">
      <alignment horizontal="center" wrapText="1"/>
      <protection/>
    </xf>
    <xf numFmtId="2" fontId="7" fillId="0" borderId="23" xfId="54" applyNumberFormat="1" applyFont="1" applyFill="1" applyBorder="1" applyAlignment="1">
      <alignment wrapText="1"/>
      <protection/>
    </xf>
    <xf numFmtId="0" fontId="7" fillId="0" borderId="25" xfId="54" applyFont="1" applyFill="1" applyBorder="1" applyAlignment="1">
      <alignment wrapText="1"/>
      <protection/>
    </xf>
    <xf numFmtId="3" fontId="10" fillId="0" borderId="25" xfId="54" applyNumberFormat="1" applyFont="1" applyFill="1" applyBorder="1" applyAlignment="1">
      <alignment horizontal="center" wrapText="1"/>
      <protection/>
    </xf>
    <xf numFmtId="0" fontId="4" fillId="0" borderId="0" xfId="54" applyFont="1" applyFill="1" applyBorder="1" applyAlignment="1">
      <alignment vertical="center" wrapText="1"/>
      <protection/>
    </xf>
    <xf numFmtId="180" fontId="10" fillId="0" borderId="0" xfId="0" applyNumberFormat="1" applyFont="1" applyFill="1" applyBorder="1" applyAlignment="1">
      <alignment vertical="center" wrapText="1"/>
    </xf>
    <xf numFmtId="1" fontId="11" fillId="0" borderId="23" xfId="54" applyNumberFormat="1" applyFont="1" applyFill="1" applyBorder="1" applyAlignment="1">
      <alignment horizontal="center" wrapText="1"/>
      <protection/>
    </xf>
    <xf numFmtId="0" fontId="54" fillId="0" borderId="10" xfId="54" applyFont="1" applyFill="1" applyBorder="1" applyAlignment="1">
      <alignment horizontal="center" wrapText="1"/>
      <protection/>
    </xf>
    <xf numFmtId="0" fontId="10" fillId="0" borderId="23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0" fillId="0" borderId="23" xfId="54" applyFont="1" applyFill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center" vertical="center"/>
      <protection/>
    </xf>
    <xf numFmtId="0" fontId="10" fillId="0" borderId="17" xfId="54" applyFont="1" applyFill="1" applyBorder="1" applyAlignment="1">
      <alignment horizontal="center" vertical="center"/>
      <protection/>
    </xf>
    <xf numFmtId="177" fontId="10" fillId="0" borderId="10" xfId="54" applyNumberFormat="1" applyFont="1" applyFill="1" applyBorder="1" applyAlignment="1">
      <alignment horizontal="center" vertical="center" wrapText="1"/>
      <protection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10" fillId="0" borderId="22" xfId="0" applyNumberFormat="1" applyFont="1" applyFill="1" applyBorder="1" applyAlignment="1">
      <alignment horizontal="center" vertical="center" wrapText="1"/>
    </xf>
    <xf numFmtId="180" fontId="10" fillId="0" borderId="21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177" fontId="10" fillId="0" borderId="18" xfId="54" applyNumberFormat="1" applyFont="1" applyFill="1" applyBorder="1" applyAlignment="1">
      <alignment horizontal="center" vertical="center" wrapText="1"/>
      <protection/>
    </xf>
    <xf numFmtId="177" fontId="10" fillId="0" borderId="28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77" fontId="13" fillId="0" borderId="18" xfId="54" applyNumberFormat="1" applyFont="1" applyFill="1" applyBorder="1" applyAlignment="1">
      <alignment horizontal="center" vertical="center" wrapText="1"/>
      <protection/>
    </xf>
    <xf numFmtId="177" fontId="13" fillId="0" borderId="28" xfId="54" applyNumberFormat="1" applyFont="1" applyFill="1" applyBorder="1" applyAlignment="1">
      <alignment horizontal="center" vertical="center" wrapText="1"/>
      <protection/>
    </xf>
    <xf numFmtId="180" fontId="10" fillId="0" borderId="23" xfId="0" applyNumberFormat="1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21" xfId="54" applyFont="1" applyFill="1" applyBorder="1" applyAlignment="1">
      <alignment horizontal="center" vertical="center" wrapText="1"/>
      <protection/>
    </xf>
    <xf numFmtId="0" fontId="53" fillId="0" borderId="23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177" fontId="10" fillId="0" borderId="26" xfId="54" applyNumberFormat="1" applyFont="1" applyFill="1" applyBorder="1" applyAlignment="1">
      <alignment horizontal="center" vertical="center" wrapText="1"/>
      <protection/>
    </xf>
    <xf numFmtId="177" fontId="10" fillId="0" borderId="16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0" fontId="53" fillId="0" borderId="20" xfId="0" applyFont="1" applyFill="1" applyBorder="1" applyAlignment="1">
      <alignment horizontal="center" vertical="center" wrapText="1"/>
    </xf>
    <xf numFmtId="177" fontId="13" fillId="0" borderId="10" xfId="54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/>
    </xf>
    <xf numFmtId="0" fontId="14" fillId="0" borderId="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tabSelected="1" view="pageBreakPreview" zoomScale="71" zoomScaleNormal="74" zoomScaleSheetLayoutView="71" zoomScalePageLayoutView="0" workbookViewId="0" topLeftCell="A4">
      <pane xSplit="2" ySplit="5" topLeftCell="T36" activePane="bottomRight" state="frozen"/>
      <selection pane="topLeft" activeCell="A4" sqref="A4"/>
      <selection pane="topRight" activeCell="C4" sqref="C4"/>
      <selection pane="bottomLeft" activeCell="A9" sqref="A9"/>
      <selection pane="bottomRight" activeCell="V45" sqref="V45"/>
    </sheetView>
  </sheetViews>
  <sheetFormatPr defaultColWidth="9.140625" defaultRowHeight="12.75"/>
  <cols>
    <col min="1" max="1" width="9.00390625" style="34" customWidth="1"/>
    <col min="2" max="2" width="31.8515625" style="34" customWidth="1"/>
    <col min="3" max="3" width="14.8515625" style="34" customWidth="1"/>
    <col min="4" max="4" width="14.7109375" style="35" customWidth="1"/>
    <col min="5" max="5" width="13.7109375" style="35" customWidth="1"/>
    <col min="6" max="6" width="15.421875" style="35" bestFit="1" customWidth="1"/>
    <col min="7" max="7" width="20.421875" style="35" customWidth="1"/>
    <col min="8" max="8" width="15.421875" style="35" customWidth="1"/>
    <col min="9" max="9" width="32.7109375" style="35" customWidth="1"/>
    <col min="10" max="10" width="42.00390625" style="35" customWidth="1"/>
    <col min="11" max="11" width="17.57421875" style="35" customWidth="1"/>
    <col min="12" max="12" width="29.7109375" style="35" customWidth="1"/>
    <col min="13" max="13" width="29.421875" style="35" customWidth="1"/>
    <col min="14" max="14" width="23.57421875" style="35" customWidth="1"/>
    <col min="15" max="15" width="17.28125" style="28" customWidth="1"/>
    <col min="16" max="16" width="15.140625" style="28" customWidth="1"/>
    <col min="17" max="17" width="15.00390625" style="28" customWidth="1"/>
    <col min="18" max="18" width="26.00390625" style="28" customWidth="1"/>
    <col min="19" max="19" width="22.8515625" style="28" customWidth="1"/>
    <col min="20" max="20" width="20.421875" style="28" customWidth="1"/>
    <col min="21" max="21" width="35.57421875" style="29" customWidth="1"/>
    <col min="22" max="22" width="18.421875" style="29" customWidth="1"/>
    <col min="23" max="23" width="17.57421875" style="28" customWidth="1"/>
    <col min="24" max="24" width="12.421875" style="28" customWidth="1"/>
    <col min="25" max="25" width="16.00390625" style="28" customWidth="1"/>
    <col min="26" max="26" width="17.00390625" style="28" customWidth="1"/>
    <col min="27" max="27" width="16.8515625" style="28" customWidth="1"/>
    <col min="28" max="28" width="9.140625" style="29" customWidth="1"/>
    <col min="29" max="29" width="11.140625" style="29" customWidth="1"/>
    <col min="30" max="31" width="9.140625" style="29" customWidth="1"/>
    <col min="32" max="16384" width="9.140625" style="28" customWidth="1"/>
  </cols>
  <sheetData>
    <row r="1" spans="1:31" s="3" customFormat="1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72" t="s">
        <v>85</v>
      </c>
      <c r="U1" s="4"/>
      <c r="V1" s="4"/>
      <c r="AB1" s="4"/>
      <c r="AC1" s="4"/>
      <c r="AD1" s="4"/>
      <c r="AE1" s="4"/>
    </row>
    <row r="2" spans="1:31" s="3" customFormat="1" ht="81.75" customHeight="1">
      <c r="A2" s="5"/>
      <c r="B2" s="5"/>
      <c r="C2" s="133" t="s">
        <v>86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U2" s="4"/>
      <c r="V2" s="4"/>
      <c r="AB2" s="4"/>
      <c r="AC2" s="4"/>
      <c r="AD2" s="4"/>
      <c r="AE2" s="4"/>
    </row>
    <row r="3" spans="1:31" s="3" customFormat="1" ht="50.25" customHeight="1">
      <c r="A3" s="5"/>
      <c r="B3" s="5"/>
      <c r="C3" s="134" t="s">
        <v>76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U3" s="4"/>
      <c r="V3" s="4"/>
      <c r="AB3" s="4"/>
      <c r="AC3" s="4"/>
      <c r="AD3" s="4"/>
      <c r="AE3" s="4"/>
    </row>
    <row r="4" spans="1:31" s="3" customFormat="1" ht="51.75" customHeight="1">
      <c r="A4" s="106" t="s">
        <v>7</v>
      </c>
      <c r="B4" s="103" t="s">
        <v>31</v>
      </c>
      <c r="C4" s="103" t="s">
        <v>8</v>
      </c>
      <c r="D4" s="109" t="s">
        <v>10</v>
      </c>
      <c r="E4" s="109"/>
      <c r="F4" s="109"/>
      <c r="G4" s="109"/>
      <c r="H4" s="109"/>
      <c r="I4" s="122" t="s">
        <v>18</v>
      </c>
      <c r="J4" s="123"/>
      <c r="K4" s="124"/>
      <c r="L4" s="130" t="s">
        <v>21</v>
      </c>
      <c r="M4" s="130" t="s">
        <v>74</v>
      </c>
      <c r="N4" s="130" t="s">
        <v>20</v>
      </c>
      <c r="O4" s="110" t="s">
        <v>81</v>
      </c>
      <c r="P4" s="111"/>
      <c r="Q4" s="111"/>
      <c r="R4" s="111"/>
      <c r="S4" s="111"/>
      <c r="T4" s="112"/>
      <c r="U4" s="103" t="s">
        <v>71</v>
      </c>
      <c r="V4" s="110" t="s">
        <v>82</v>
      </c>
      <c r="W4" s="111"/>
      <c r="X4" s="111"/>
      <c r="Y4" s="111"/>
      <c r="Z4" s="111"/>
      <c r="AA4" s="112"/>
      <c r="AB4" s="4"/>
      <c r="AC4" s="4"/>
      <c r="AD4" s="4"/>
      <c r="AE4" s="4"/>
    </row>
    <row r="5" spans="1:31" s="3" customFormat="1" ht="60.75" customHeight="1">
      <c r="A5" s="107"/>
      <c r="B5" s="104"/>
      <c r="C5" s="104"/>
      <c r="D5" s="128" t="s">
        <v>75</v>
      </c>
      <c r="E5" s="129"/>
      <c r="F5" s="129"/>
      <c r="G5" s="129"/>
      <c r="H5" s="129"/>
      <c r="I5" s="125"/>
      <c r="J5" s="126"/>
      <c r="K5" s="127"/>
      <c r="L5" s="131"/>
      <c r="M5" s="131"/>
      <c r="N5" s="131"/>
      <c r="O5" s="113"/>
      <c r="P5" s="114"/>
      <c r="Q5" s="114"/>
      <c r="R5" s="114"/>
      <c r="S5" s="114"/>
      <c r="T5" s="115"/>
      <c r="U5" s="104"/>
      <c r="V5" s="113"/>
      <c r="W5" s="114"/>
      <c r="X5" s="114"/>
      <c r="Y5" s="114"/>
      <c r="Z5" s="114"/>
      <c r="AA5" s="115"/>
      <c r="AB5" s="4"/>
      <c r="AC5" s="4"/>
      <c r="AD5" s="4"/>
      <c r="AE5" s="4"/>
    </row>
    <row r="6" spans="1:31" s="3" customFormat="1" ht="36.75" customHeight="1">
      <c r="A6" s="107"/>
      <c r="B6" s="70"/>
      <c r="C6" s="104"/>
      <c r="D6" s="116" t="s">
        <v>25</v>
      </c>
      <c r="E6" s="117"/>
      <c r="F6" s="117"/>
      <c r="G6" s="117"/>
      <c r="H6" s="117"/>
      <c r="I6" s="120" t="s">
        <v>17</v>
      </c>
      <c r="J6" s="121"/>
      <c r="K6" s="135" t="s">
        <v>6</v>
      </c>
      <c r="L6" s="131"/>
      <c r="M6" s="131"/>
      <c r="N6" s="131"/>
      <c r="O6" s="116" t="s">
        <v>11</v>
      </c>
      <c r="P6" s="117"/>
      <c r="Q6" s="117"/>
      <c r="R6" s="117"/>
      <c r="S6" s="117"/>
      <c r="T6" s="118" t="s">
        <v>6</v>
      </c>
      <c r="U6" s="104"/>
      <c r="V6" s="116" t="s">
        <v>11</v>
      </c>
      <c r="W6" s="117"/>
      <c r="X6" s="117"/>
      <c r="Y6" s="117"/>
      <c r="Z6" s="117"/>
      <c r="AA6" s="118" t="s">
        <v>6</v>
      </c>
      <c r="AB6" s="4"/>
      <c r="AC6" s="4"/>
      <c r="AD6" s="4"/>
      <c r="AE6" s="4"/>
    </row>
    <row r="7" spans="1:31" s="3" customFormat="1" ht="234.75" customHeight="1">
      <c r="A7" s="107"/>
      <c r="B7" s="118" t="s">
        <v>9</v>
      </c>
      <c r="C7" s="104"/>
      <c r="D7" s="8" t="s">
        <v>2</v>
      </c>
      <c r="E7" s="8" t="s">
        <v>1</v>
      </c>
      <c r="F7" s="8" t="s">
        <v>3</v>
      </c>
      <c r="G7" s="8" t="s">
        <v>15</v>
      </c>
      <c r="H7" s="73" t="s">
        <v>16</v>
      </c>
      <c r="I7" s="71" t="s">
        <v>73</v>
      </c>
      <c r="J7" s="71" t="s">
        <v>80</v>
      </c>
      <c r="K7" s="136"/>
      <c r="L7" s="131"/>
      <c r="M7" s="131"/>
      <c r="N7" s="131"/>
      <c r="O7" s="8" t="s">
        <v>2</v>
      </c>
      <c r="P7" s="8" t="s">
        <v>1</v>
      </c>
      <c r="Q7" s="8" t="s">
        <v>3</v>
      </c>
      <c r="R7" s="8" t="s">
        <v>15</v>
      </c>
      <c r="S7" s="73" t="s">
        <v>16</v>
      </c>
      <c r="T7" s="118"/>
      <c r="U7" s="104"/>
      <c r="V7" s="8" t="s">
        <v>2</v>
      </c>
      <c r="W7" s="8" t="s">
        <v>1</v>
      </c>
      <c r="X7" s="8" t="s">
        <v>3</v>
      </c>
      <c r="Y7" s="8" t="s">
        <v>15</v>
      </c>
      <c r="Z7" s="73" t="s">
        <v>16</v>
      </c>
      <c r="AA7" s="118"/>
      <c r="AB7" s="4"/>
      <c r="AC7" s="4"/>
      <c r="AD7" s="4"/>
      <c r="AE7" s="4"/>
    </row>
    <row r="8" spans="1:31" s="3" customFormat="1" ht="44.25" customHeight="1">
      <c r="A8" s="108"/>
      <c r="B8" s="118"/>
      <c r="C8" s="105"/>
      <c r="D8" s="8" t="s">
        <v>5</v>
      </c>
      <c r="E8" s="8" t="s">
        <v>5</v>
      </c>
      <c r="F8" s="8" t="s">
        <v>5</v>
      </c>
      <c r="G8" s="8" t="s">
        <v>5</v>
      </c>
      <c r="H8" s="73" t="s">
        <v>5</v>
      </c>
      <c r="I8" s="7" t="s">
        <v>13</v>
      </c>
      <c r="J8" s="7" t="s">
        <v>13</v>
      </c>
      <c r="K8" s="7" t="s">
        <v>13</v>
      </c>
      <c r="L8" s="132"/>
      <c r="M8" s="132"/>
      <c r="N8" s="132"/>
      <c r="O8" s="8" t="s">
        <v>14</v>
      </c>
      <c r="P8" s="8" t="s">
        <v>14</v>
      </c>
      <c r="Q8" s="8" t="s">
        <v>14</v>
      </c>
      <c r="R8" s="8" t="s">
        <v>14</v>
      </c>
      <c r="S8" s="8" t="s">
        <v>14</v>
      </c>
      <c r="T8" s="8" t="s">
        <v>14</v>
      </c>
      <c r="U8" s="105"/>
      <c r="V8" s="8" t="s">
        <v>14</v>
      </c>
      <c r="W8" s="8" t="s">
        <v>14</v>
      </c>
      <c r="X8" s="8" t="s">
        <v>14</v>
      </c>
      <c r="Y8" s="8" t="s">
        <v>14</v>
      </c>
      <c r="Z8" s="8" t="s">
        <v>14</v>
      </c>
      <c r="AA8" s="8" t="s">
        <v>14</v>
      </c>
      <c r="AB8" s="4"/>
      <c r="AC8" s="4"/>
      <c r="AD8" s="4"/>
      <c r="AE8" s="4"/>
    </row>
    <row r="9" spans="1:31" s="10" customFormat="1" ht="18" customHeight="1">
      <c r="A9" s="74">
        <v>1</v>
      </c>
      <c r="B9" s="75" t="s">
        <v>32</v>
      </c>
      <c r="C9" s="76">
        <v>5</v>
      </c>
      <c r="D9" s="77">
        <v>158</v>
      </c>
      <c r="E9" s="77"/>
      <c r="F9" s="77"/>
      <c r="G9" s="77"/>
      <c r="H9" s="77"/>
      <c r="I9" s="78">
        <v>38433</v>
      </c>
      <c r="J9" s="78">
        <v>1749</v>
      </c>
      <c r="K9" s="78">
        <f>SUM(I9:J9)</f>
        <v>40182</v>
      </c>
      <c r="L9" s="79">
        <v>1</v>
      </c>
      <c r="M9" s="79">
        <f>ROUND(25/(D9+E9+F9+G9+H9+'Началка-инклюзия'!D8+'Началка-инклюзия'!E8+'Началка-инклюзия'!F8)*9,3)</f>
        <v>1.308</v>
      </c>
      <c r="N9" s="78">
        <f>ROUND(I9*(L9-1)+K9*(M9-1)+K9,0)</f>
        <v>52558</v>
      </c>
      <c r="O9" s="9">
        <f>ROUND(D9*N9/12*4/1000,1)</f>
        <v>2768.1</v>
      </c>
      <c r="P9" s="9">
        <f>ROUND(E9*N9/1000/12*4,1)</f>
        <v>0</v>
      </c>
      <c r="Q9" s="9">
        <f>ROUND(F9*N9/1000/12*4,1)</f>
        <v>0</v>
      </c>
      <c r="R9" s="9">
        <f>ROUND(G9*N9/1000/12*4,1)</f>
        <v>0</v>
      </c>
      <c r="S9" s="9">
        <f>ROUND(H9*N9/1000/12*4,1)</f>
        <v>0</v>
      </c>
      <c r="T9" s="9">
        <f aca="true" t="shared" si="0" ref="T9:T45">SUM(O9:S9)</f>
        <v>2768.1</v>
      </c>
      <c r="U9" s="80">
        <v>0.866</v>
      </c>
      <c r="V9" s="9">
        <f>ROUND(O9*U9,1)</f>
        <v>2397.2</v>
      </c>
      <c r="W9" s="9">
        <f>ROUND(P9*U9,1)</f>
        <v>0</v>
      </c>
      <c r="X9" s="9">
        <f>ROUND(Q9*U9,1)</f>
        <v>0</v>
      </c>
      <c r="Y9" s="9">
        <f>ROUND(R9*U9,1)</f>
        <v>0</v>
      </c>
      <c r="Z9" s="9">
        <f>ROUND(S9*U9,1)</f>
        <v>0</v>
      </c>
      <c r="AA9" s="81">
        <f>SUM(V9:Z9)</f>
        <v>2397.2</v>
      </c>
      <c r="AB9" s="82"/>
      <c r="AC9" s="82"/>
      <c r="AD9" s="83"/>
      <c r="AE9" s="83"/>
    </row>
    <row r="10" spans="1:31" s="10" customFormat="1" ht="15.75">
      <c r="A10" s="84">
        <v>2</v>
      </c>
      <c r="B10" s="75" t="s">
        <v>33</v>
      </c>
      <c r="C10" s="76">
        <v>5</v>
      </c>
      <c r="D10" s="11">
        <v>288</v>
      </c>
      <c r="E10" s="11">
        <v>4</v>
      </c>
      <c r="F10" s="11"/>
      <c r="G10" s="11"/>
      <c r="H10" s="11"/>
      <c r="I10" s="78">
        <v>38433</v>
      </c>
      <c r="J10" s="78">
        <v>1749</v>
      </c>
      <c r="K10" s="78">
        <f aca="true" t="shared" si="1" ref="K10:K45">SUM(I10:J10)</f>
        <v>40182</v>
      </c>
      <c r="L10" s="79">
        <v>1</v>
      </c>
      <c r="M10" s="79">
        <f>ROUND(25/(D10+E10+F10+G10+H10+'Началка-инклюзия'!D9+'Началка-инклюзия'!E9+'Началка-инклюзия'!F9)*12,3)</f>
        <v>1.024</v>
      </c>
      <c r="N10" s="78">
        <f aca="true" t="shared" si="2" ref="N10:N45">ROUND(I10*(L10-1)+K10*(M10-1)+K10,0)</f>
        <v>41146</v>
      </c>
      <c r="O10" s="9">
        <f aca="true" t="shared" si="3" ref="O10:O45">ROUND(D10*N10/12*4/1000,1)</f>
        <v>3950</v>
      </c>
      <c r="P10" s="9">
        <f aca="true" t="shared" si="4" ref="P10:P45">ROUND(E10*N10/1000/12*4,1)</f>
        <v>54.9</v>
      </c>
      <c r="Q10" s="9">
        <f aca="true" t="shared" si="5" ref="Q10:Q45">ROUND(F10*N10/1000/12*4,1)</f>
        <v>0</v>
      </c>
      <c r="R10" s="9">
        <f aca="true" t="shared" si="6" ref="R10:R45">ROUND(G10*N10/1000/12*4,1)</f>
        <v>0</v>
      </c>
      <c r="S10" s="9">
        <f aca="true" t="shared" si="7" ref="S10:S45">ROUND(H10*N10/1000/12*4,1)</f>
        <v>0</v>
      </c>
      <c r="T10" s="9">
        <f t="shared" si="0"/>
        <v>4004.9</v>
      </c>
      <c r="U10" s="80">
        <v>0.906</v>
      </c>
      <c r="V10" s="9">
        <f aca="true" t="shared" si="8" ref="V10:V45">ROUND(O10*U10,1)</f>
        <v>3578.7</v>
      </c>
      <c r="W10" s="9">
        <f aca="true" t="shared" si="9" ref="W10:W45">ROUND(P10*U10,1)</f>
        <v>49.7</v>
      </c>
      <c r="X10" s="9">
        <f aca="true" t="shared" si="10" ref="X10:X45">ROUND(Q10*U10,1)</f>
        <v>0</v>
      </c>
      <c r="Y10" s="9">
        <f aca="true" t="shared" si="11" ref="Y10:Y45">ROUND(R10*U10,1)</f>
        <v>0</v>
      </c>
      <c r="Z10" s="9">
        <f aca="true" t="shared" si="12" ref="Z10:Z45">ROUND(S10*U10,1)</f>
        <v>0</v>
      </c>
      <c r="AA10" s="81">
        <f aca="true" t="shared" si="13" ref="AA10:AA45">SUM(V10:Z10)</f>
        <v>3628.3999999999996</v>
      </c>
      <c r="AB10" s="82"/>
      <c r="AC10" s="82"/>
      <c r="AD10" s="83"/>
      <c r="AE10" s="83"/>
    </row>
    <row r="11" spans="1:31" s="10" customFormat="1" ht="15.75">
      <c r="A11" s="74">
        <v>3</v>
      </c>
      <c r="B11" s="75" t="s">
        <v>34</v>
      </c>
      <c r="C11" s="76">
        <v>5</v>
      </c>
      <c r="D11" s="11">
        <v>211</v>
      </c>
      <c r="E11" s="11"/>
      <c r="F11" s="11"/>
      <c r="G11" s="11"/>
      <c r="H11" s="11"/>
      <c r="I11" s="78">
        <v>38433</v>
      </c>
      <c r="J11" s="78">
        <v>1749</v>
      </c>
      <c r="K11" s="78">
        <f t="shared" si="1"/>
        <v>40182</v>
      </c>
      <c r="L11" s="79">
        <v>1</v>
      </c>
      <c r="M11" s="79">
        <f>ROUND(25/(D11+E11+F11+G11+H11+'Началка-инклюзия'!D10+'Началка-инклюзия'!E10+'Началка-инклюзия'!F10)*9,3)</f>
        <v>1.047</v>
      </c>
      <c r="N11" s="78">
        <f t="shared" si="2"/>
        <v>42071</v>
      </c>
      <c r="O11" s="9">
        <f t="shared" si="3"/>
        <v>2959</v>
      </c>
      <c r="P11" s="9">
        <f t="shared" si="4"/>
        <v>0</v>
      </c>
      <c r="Q11" s="9">
        <f t="shared" si="5"/>
        <v>0</v>
      </c>
      <c r="R11" s="9">
        <f t="shared" si="6"/>
        <v>0</v>
      </c>
      <c r="S11" s="9">
        <f t="shared" si="7"/>
        <v>0</v>
      </c>
      <c r="T11" s="9">
        <f t="shared" si="0"/>
        <v>2959</v>
      </c>
      <c r="U11" s="80">
        <v>0.922</v>
      </c>
      <c r="V11" s="9">
        <f t="shared" si="8"/>
        <v>2728.2</v>
      </c>
      <c r="W11" s="9">
        <f t="shared" si="9"/>
        <v>0</v>
      </c>
      <c r="X11" s="9">
        <f t="shared" si="10"/>
        <v>0</v>
      </c>
      <c r="Y11" s="9">
        <f t="shared" si="11"/>
        <v>0</v>
      </c>
      <c r="Z11" s="9">
        <f t="shared" si="12"/>
        <v>0</v>
      </c>
      <c r="AA11" s="81">
        <f t="shared" si="13"/>
        <v>2728.2</v>
      </c>
      <c r="AB11" s="82"/>
      <c r="AC11" s="82"/>
      <c r="AD11" s="83"/>
      <c r="AE11" s="83"/>
    </row>
    <row r="12" spans="1:31" s="10" customFormat="1" ht="15.75">
      <c r="A12" s="84">
        <v>4</v>
      </c>
      <c r="B12" s="75" t="s">
        <v>35</v>
      </c>
      <c r="C12" s="76">
        <v>5</v>
      </c>
      <c r="D12" s="85">
        <v>119</v>
      </c>
      <c r="E12" s="85"/>
      <c r="F12" s="85"/>
      <c r="G12" s="85"/>
      <c r="H12" s="85"/>
      <c r="I12" s="78">
        <v>38433</v>
      </c>
      <c r="J12" s="78">
        <v>1749</v>
      </c>
      <c r="K12" s="78">
        <f t="shared" si="1"/>
        <v>40182</v>
      </c>
      <c r="L12" s="79">
        <v>1</v>
      </c>
      <c r="M12" s="79">
        <f>ROUND(25/(D12+E12+F12+G12+H12+'Началка-инклюзия'!D11+'Началка-инклюзия'!E11+'Началка-инклюзия'!F11)*6,3)</f>
        <v>1.2</v>
      </c>
      <c r="N12" s="78">
        <f t="shared" si="2"/>
        <v>48218</v>
      </c>
      <c r="O12" s="9">
        <f t="shared" si="3"/>
        <v>1912.6</v>
      </c>
      <c r="P12" s="9">
        <f t="shared" si="4"/>
        <v>0</v>
      </c>
      <c r="Q12" s="9">
        <f t="shared" si="5"/>
        <v>0</v>
      </c>
      <c r="R12" s="9">
        <f t="shared" si="6"/>
        <v>0</v>
      </c>
      <c r="S12" s="9">
        <f t="shared" si="7"/>
        <v>0</v>
      </c>
      <c r="T12" s="9">
        <f t="shared" si="0"/>
        <v>1912.6</v>
      </c>
      <c r="U12" s="80">
        <v>0.923</v>
      </c>
      <c r="V12" s="9">
        <f t="shared" si="8"/>
        <v>1765.3</v>
      </c>
      <c r="W12" s="9">
        <f t="shared" si="9"/>
        <v>0</v>
      </c>
      <c r="X12" s="9">
        <f t="shared" si="10"/>
        <v>0</v>
      </c>
      <c r="Y12" s="9">
        <f t="shared" si="11"/>
        <v>0</v>
      </c>
      <c r="Z12" s="9">
        <f t="shared" si="12"/>
        <v>0</v>
      </c>
      <c r="AA12" s="81">
        <f t="shared" si="13"/>
        <v>1765.3</v>
      </c>
      <c r="AB12" s="82"/>
      <c r="AC12" s="82"/>
      <c r="AD12" s="83"/>
      <c r="AE12" s="83"/>
    </row>
    <row r="13" spans="1:31" s="10" customFormat="1" ht="15.75">
      <c r="A13" s="74">
        <v>5</v>
      </c>
      <c r="B13" s="75" t="s">
        <v>36</v>
      </c>
      <c r="C13" s="76">
        <v>5</v>
      </c>
      <c r="D13" s="11">
        <v>41</v>
      </c>
      <c r="E13" s="11"/>
      <c r="F13" s="11"/>
      <c r="G13" s="11"/>
      <c r="H13" s="11"/>
      <c r="I13" s="78">
        <v>38433</v>
      </c>
      <c r="J13" s="78">
        <v>1749</v>
      </c>
      <c r="K13" s="78">
        <f t="shared" si="1"/>
        <v>40182</v>
      </c>
      <c r="L13" s="79">
        <v>1</v>
      </c>
      <c r="M13" s="79">
        <f>ROUND(25/(D13+E13+F13+G13+H13+'Началка-инклюзия'!D12+'Началка-инклюзия'!E12+'Началка-инклюзия'!F12)*4,3)</f>
        <v>2</v>
      </c>
      <c r="N13" s="78">
        <f t="shared" si="2"/>
        <v>80364</v>
      </c>
      <c r="O13" s="9">
        <f t="shared" si="3"/>
        <v>1098.3</v>
      </c>
      <c r="P13" s="9">
        <f t="shared" si="4"/>
        <v>0</v>
      </c>
      <c r="Q13" s="9">
        <f t="shared" si="5"/>
        <v>0</v>
      </c>
      <c r="R13" s="9">
        <f t="shared" si="6"/>
        <v>0</v>
      </c>
      <c r="S13" s="9">
        <f t="shared" si="7"/>
        <v>0</v>
      </c>
      <c r="T13" s="9">
        <f t="shared" si="0"/>
        <v>1098.3</v>
      </c>
      <c r="U13" s="80">
        <v>1.309</v>
      </c>
      <c r="V13" s="9">
        <f t="shared" si="8"/>
        <v>1437.7</v>
      </c>
      <c r="W13" s="9">
        <f t="shared" si="9"/>
        <v>0</v>
      </c>
      <c r="X13" s="9">
        <f t="shared" si="10"/>
        <v>0</v>
      </c>
      <c r="Y13" s="9">
        <f t="shared" si="11"/>
        <v>0</v>
      </c>
      <c r="Z13" s="9">
        <f t="shared" si="12"/>
        <v>0</v>
      </c>
      <c r="AA13" s="81">
        <f t="shared" si="13"/>
        <v>1437.7</v>
      </c>
      <c r="AB13" s="82"/>
      <c r="AC13" s="82"/>
      <c r="AD13" s="83"/>
      <c r="AE13" s="83"/>
    </row>
    <row r="14" spans="1:31" s="10" customFormat="1" ht="15.75">
      <c r="A14" s="84">
        <v>6</v>
      </c>
      <c r="B14" s="75" t="s">
        <v>37</v>
      </c>
      <c r="C14" s="76">
        <v>5</v>
      </c>
      <c r="D14" s="11">
        <v>267</v>
      </c>
      <c r="E14" s="11"/>
      <c r="F14" s="11"/>
      <c r="G14" s="11"/>
      <c r="H14" s="11"/>
      <c r="I14" s="78">
        <v>38433</v>
      </c>
      <c r="J14" s="78">
        <v>1749</v>
      </c>
      <c r="K14" s="78">
        <f t="shared" si="1"/>
        <v>40182</v>
      </c>
      <c r="L14" s="79">
        <v>1</v>
      </c>
      <c r="M14" s="79">
        <f>ROUND(25/(D14+E14+F14+G14+H14+'Началка-инклюзия'!D13+'Началка-инклюзия'!E13+'Началка-инклюзия'!F13)*12,3)</f>
        <v>1.091</v>
      </c>
      <c r="N14" s="78">
        <f t="shared" si="2"/>
        <v>43839</v>
      </c>
      <c r="O14" s="9">
        <f t="shared" si="3"/>
        <v>3901.7</v>
      </c>
      <c r="P14" s="9">
        <f t="shared" si="4"/>
        <v>0</v>
      </c>
      <c r="Q14" s="9">
        <f t="shared" si="5"/>
        <v>0</v>
      </c>
      <c r="R14" s="9">
        <f t="shared" si="6"/>
        <v>0</v>
      </c>
      <c r="S14" s="9">
        <f t="shared" si="7"/>
        <v>0</v>
      </c>
      <c r="T14" s="9">
        <f t="shared" si="0"/>
        <v>3901.7</v>
      </c>
      <c r="U14" s="80">
        <v>0.997</v>
      </c>
      <c r="V14" s="9">
        <f t="shared" si="8"/>
        <v>3890</v>
      </c>
      <c r="W14" s="9">
        <f t="shared" si="9"/>
        <v>0</v>
      </c>
      <c r="X14" s="9">
        <f t="shared" si="10"/>
        <v>0</v>
      </c>
      <c r="Y14" s="9">
        <f t="shared" si="11"/>
        <v>0</v>
      </c>
      <c r="Z14" s="9">
        <f t="shared" si="12"/>
        <v>0</v>
      </c>
      <c r="AA14" s="81">
        <f t="shared" si="13"/>
        <v>3890</v>
      </c>
      <c r="AB14" s="82"/>
      <c r="AC14" s="82"/>
      <c r="AD14" s="83"/>
      <c r="AE14" s="83"/>
    </row>
    <row r="15" spans="1:31" s="10" customFormat="1" ht="15.75" customHeight="1">
      <c r="A15" s="74">
        <v>7</v>
      </c>
      <c r="B15" s="75" t="s">
        <v>38</v>
      </c>
      <c r="C15" s="76">
        <v>5</v>
      </c>
      <c r="D15" s="11">
        <v>343</v>
      </c>
      <c r="E15" s="11"/>
      <c r="F15" s="11"/>
      <c r="G15" s="11"/>
      <c r="H15" s="11"/>
      <c r="I15" s="78">
        <v>38433</v>
      </c>
      <c r="J15" s="78">
        <v>1749</v>
      </c>
      <c r="K15" s="78">
        <f t="shared" si="1"/>
        <v>40182</v>
      </c>
      <c r="L15" s="79">
        <v>1</v>
      </c>
      <c r="M15" s="79">
        <v>1</v>
      </c>
      <c r="N15" s="78">
        <f t="shared" si="2"/>
        <v>40182</v>
      </c>
      <c r="O15" s="9">
        <f t="shared" si="3"/>
        <v>4594.1</v>
      </c>
      <c r="P15" s="9">
        <f t="shared" si="4"/>
        <v>0</v>
      </c>
      <c r="Q15" s="9">
        <f t="shared" si="5"/>
        <v>0</v>
      </c>
      <c r="R15" s="9">
        <f t="shared" si="6"/>
        <v>0</v>
      </c>
      <c r="S15" s="9">
        <f t="shared" si="7"/>
        <v>0</v>
      </c>
      <c r="T15" s="9">
        <f t="shared" si="0"/>
        <v>4594.1</v>
      </c>
      <c r="U15" s="80">
        <v>0.848</v>
      </c>
      <c r="V15" s="9">
        <f t="shared" si="8"/>
        <v>3895.8</v>
      </c>
      <c r="W15" s="9">
        <f t="shared" si="9"/>
        <v>0</v>
      </c>
      <c r="X15" s="9">
        <f t="shared" si="10"/>
        <v>0</v>
      </c>
      <c r="Y15" s="9">
        <f t="shared" si="11"/>
        <v>0</v>
      </c>
      <c r="Z15" s="9">
        <f t="shared" si="12"/>
        <v>0</v>
      </c>
      <c r="AA15" s="81">
        <f t="shared" si="13"/>
        <v>3895.8</v>
      </c>
      <c r="AB15" s="82"/>
      <c r="AC15" s="82"/>
      <c r="AD15" s="83"/>
      <c r="AE15" s="83"/>
    </row>
    <row r="16" spans="1:31" s="89" customFormat="1" ht="15.75">
      <c r="A16" s="84">
        <v>8</v>
      </c>
      <c r="B16" s="86" t="s">
        <v>39</v>
      </c>
      <c r="C16" s="76">
        <v>5</v>
      </c>
      <c r="D16" s="11">
        <v>329</v>
      </c>
      <c r="E16" s="11">
        <v>2</v>
      </c>
      <c r="F16" s="11"/>
      <c r="G16" s="11"/>
      <c r="H16" s="11"/>
      <c r="I16" s="78">
        <v>38433</v>
      </c>
      <c r="J16" s="78">
        <v>1749</v>
      </c>
      <c r="K16" s="78">
        <f t="shared" si="1"/>
        <v>40182</v>
      </c>
      <c r="L16" s="79">
        <v>1</v>
      </c>
      <c r="M16" s="79">
        <f>ROUND(25/(D16+E16+F16+G16+H16+'Началка-инклюзия'!D15+'Началка-инклюзия'!E15+'Началка-инклюзия'!F15)*15,3)</f>
        <v>1.106</v>
      </c>
      <c r="N16" s="78">
        <f t="shared" si="2"/>
        <v>44441</v>
      </c>
      <c r="O16" s="9">
        <f t="shared" si="3"/>
        <v>4873.7</v>
      </c>
      <c r="P16" s="9">
        <f t="shared" si="4"/>
        <v>29.6</v>
      </c>
      <c r="Q16" s="9">
        <f t="shared" si="5"/>
        <v>0</v>
      </c>
      <c r="R16" s="9">
        <f t="shared" si="6"/>
        <v>0</v>
      </c>
      <c r="S16" s="9">
        <f t="shared" si="7"/>
        <v>0</v>
      </c>
      <c r="T16" s="9">
        <f t="shared" si="0"/>
        <v>4903.3</v>
      </c>
      <c r="U16" s="80">
        <v>0.908</v>
      </c>
      <c r="V16" s="9">
        <f t="shared" si="8"/>
        <v>4425.3</v>
      </c>
      <c r="W16" s="9">
        <f t="shared" si="9"/>
        <v>26.9</v>
      </c>
      <c r="X16" s="9">
        <f t="shared" si="10"/>
        <v>0</v>
      </c>
      <c r="Y16" s="9">
        <f t="shared" si="11"/>
        <v>0</v>
      </c>
      <c r="Z16" s="9">
        <f t="shared" si="12"/>
        <v>0</v>
      </c>
      <c r="AA16" s="81">
        <f t="shared" si="13"/>
        <v>4452.2</v>
      </c>
      <c r="AB16" s="87"/>
      <c r="AC16" s="82"/>
      <c r="AD16" s="88"/>
      <c r="AE16" s="88"/>
    </row>
    <row r="17" spans="1:31" s="10" customFormat="1" ht="15.75">
      <c r="A17" s="74">
        <v>9</v>
      </c>
      <c r="B17" s="75" t="s">
        <v>40</v>
      </c>
      <c r="C17" s="76">
        <v>5</v>
      </c>
      <c r="D17" s="11">
        <v>11</v>
      </c>
      <c r="E17" s="11"/>
      <c r="F17" s="11"/>
      <c r="G17" s="11"/>
      <c r="H17" s="11"/>
      <c r="I17" s="78">
        <v>38433</v>
      </c>
      <c r="J17" s="78">
        <v>1749</v>
      </c>
      <c r="K17" s="78">
        <f t="shared" si="1"/>
        <v>40182</v>
      </c>
      <c r="L17" s="90">
        <v>1.124</v>
      </c>
      <c r="M17" s="79">
        <f>ROUND(25/(D17+E17+F17+G17+H17+'Началка-инклюзия'!D16+'Началка-инклюзия'!E16+'Началка-инклюзия'!F16)*2,3)</f>
        <v>4.545</v>
      </c>
      <c r="N17" s="78">
        <f t="shared" si="2"/>
        <v>187393</v>
      </c>
      <c r="O17" s="9">
        <f t="shared" si="3"/>
        <v>687.1</v>
      </c>
      <c r="P17" s="9">
        <f t="shared" si="4"/>
        <v>0</v>
      </c>
      <c r="Q17" s="9">
        <f t="shared" si="5"/>
        <v>0</v>
      </c>
      <c r="R17" s="9">
        <f t="shared" si="6"/>
        <v>0</v>
      </c>
      <c r="S17" s="9">
        <f t="shared" si="7"/>
        <v>0</v>
      </c>
      <c r="T17" s="9">
        <f t="shared" si="0"/>
        <v>687.1</v>
      </c>
      <c r="U17" s="80">
        <v>0.683</v>
      </c>
      <c r="V17" s="9">
        <f>ROUND(O17*U17,1)-1</f>
        <v>468.3</v>
      </c>
      <c r="W17" s="9">
        <f t="shared" si="9"/>
        <v>0</v>
      </c>
      <c r="X17" s="9">
        <f t="shared" si="10"/>
        <v>0</v>
      </c>
      <c r="Y17" s="9">
        <f t="shared" si="11"/>
        <v>0</v>
      </c>
      <c r="Z17" s="9">
        <f t="shared" si="12"/>
        <v>0</v>
      </c>
      <c r="AA17" s="81">
        <f t="shared" si="13"/>
        <v>468.3</v>
      </c>
      <c r="AB17" s="82"/>
      <c r="AC17" s="82"/>
      <c r="AD17" s="83"/>
      <c r="AE17" s="83"/>
    </row>
    <row r="18" spans="1:31" s="10" customFormat="1" ht="15.75">
      <c r="A18" s="84">
        <v>10</v>
      </c>
      <c r="B18" s="91" t="s">
        <v>41</v>
      </c>
      <c r="C18" s="76">
        <v>5</v>
      </c>
      <c r="D18" s="11">
        <v>63</v>
      </c>
      <c r="E18" s="11"/>
      <c r="F18" s="11"/>
      <c r="G18" s="11"/>
      <c r="H18" s="11"/>
      <c r="I18" s="78">
        <v>38433</v>
      </c>
      <c r="J18" s="78">
        <v>1749</v>
      </c>
      <c r="K18" s="78">
        <f t="shared" si="1"/>
        <v>40182</v>
      </c>
      <c r="L18" s="90">
        <v>1.124</v>
      </c>
      <c r="M18" s="79">
        <f>ROUND(25/(D18+E18+F18+G18+H18+'Началка-инклюзия'!D17+'Началка-инклюзия'!E17+'Началка-инклюзия'!F17)*4,3)</f>
        <v>1.587</v>
      </c>
      <c r="N18" s="78">
        <f t="shared" si="2"/>
        <v>68535</v>
      </c>
      <c r="O18" s="9">
        <f t="shared" si="3"/>
        <v>1439.2</v>
      </c>
      <c r="P18" s="9">
        <f t="shared" si="4"/>
        <v>0</v>
      </c>
      <c r="Q18" s="9">
        <f t="shared" si="5"/>
        <v>0</v>
      </c>
      <c r="R18" s="9">
        <f t="shared" si="6"/>
        <v>0</v>
      </c>
      <c r="S18" s="9">
        <f t="shared" si="7"/>
        <v>0</v>
      </c>
      <c r="T18" s="9">
        <f t="shared" si="0"/>
        <v>1439.2</v>
      </c>
      <c r="U18" s="80">
        <v>1.033</v>
      </c>
      <c r="V18" s="9">
        <f>ROUND(O18*U18,1)+1.7</f>
        <v>1488.4</v>
      </c>
      <c r="W18" s="9">
        <f t="shared" si="9"/>
        <v>0</v>
      </c>
      <c r="X18" s="9">
        <f t="shared" si="10"/>
        <v>0</v>
      </c>
      <c r="Y18" s="9">
        <f t="shared" si="11"/>
        <v>0</v>
      </c>
      <c r="Z18" s="9">
        <f t="shared" si="12"/>
        <v>0</v>
      </c>
      <c r="AA18" s="81">
        <f t="shared" si="13"/>
        <v>1488.4</v>
      </c>
      <c r="AB18" s="82"/>
      <c r="AC18" s="82"/>
      <c r="AD18" s="83"/>
      <c r="AE18" s="83"/>
    </row>
    <row r="19" spans="1:31" s="10" customFormat="1" ht="15.75">
      <c r="A19" s="74">
        <v>11</v>
      </c>
      <c r="B19" s="91" t="s">
        <v>42</v>
      </c>
      <c r="C19" s="76">
        <v>5</v>
      </c>
      <c r="D19" s="11">
        <v>62</v>
      </c>
      <c r="E19" s="11"/>
      <c r="F19" s="11"/>
      <c r="G19" s="11"/>
      <c r="H19" s="11"/>
      <c r="I19" s="78">
        <v>38433</v>
      </c>
      <c r="J19" s="78">
        <v>1749</v>
      </c>
      <c r="K19" s="78">
        <f t="shared" si="1"/>
        <v>40182</v>
      </c>
      <c r="L19" s="90">
        <v>1.124</v>
      </c>
      <c r="M19" s="79">
        <f>ROUND(25/(D19+E19+F19+G19+H19+'Началка-инклюзия'!D18+'Началка-инклюзия'!E18+'Началка-инклюзия'!F18)*4,3)</f>
        <v>1.563</v>
      </c>
      <c r="N19" s="78">
        <f t="shared" si="2"/>
        <v>67570</v>
      </c>
      <c r="O19" s="9">
        <f t="shared" si="3"/>
        <v>1396.4</v>
      </c>
      <c r="P19" s="9">
        <f t="shared" si="4"/>
        <v>0</v>
      </c>
      <c r="Q19" s="9">
        <f t="shared" si="5"/>
        <v>0</v>
      </c>
      <c r="R19" s="9">
        <f t="shared" si="6"/>
        <v>0</v>
      </c>
      <c r="S19" s="9">
        <f t="shared" si="7"/>
        <v>0</v>
      </c>
      <c r="T19" s="9">
        <f t="shared" si="0"/>
        <v>1396.4</v>
      </c>
      <c r="U19" s="80">
        <v>1.183</v>
      </c>
      <c r="V19" s="9">
        <f>ROUND(O19*U19,1)+0.1</f>
        <v>1652</v>
      </c>
      <c r="W19" s="9">
        <f t="shared" si="9"/>
        <v>0</v>
      </c>
      <c r="X19" s="9">
        <f t="shared" si="10"/>
        <v>0</v>
      </c>
      <c r="Y19" s="9">
        <f t="shared" si="11"/>
        <v>0</v>
      </c>
      <c r="Z19" s="9">
        <f t="shared" si="12"/>
        <v>0</v>
      </c>
      <c r="AA19" s="81">
        <f t="shared" si="13"/>
        <v>1652</v>
      </c>
      <c r="AB19" s="82"/>
      <c r="AC19" s="82"/>
      <c r="AD19" s="83"/>
      <c r="AE19" s="83"/>
    </row>
    <row r="20" spans="1:31" s="10" customFormat="1" ht="15.75">
      <c r="A20" s="84">
        <v>12</v>
      </c>
      <c r="B20" s="91" t="s">
        <v>43</v>
      </c>
      <c r="C20" s="76">
        <v>5</v>
      </c>
      <c r="D20" s="11">
        <v>88</v>
      </c>
      <c r="E20" s="11">
        <v>1</v>
      </c>
      <c r="F20" s="11"/>
      <c r="G20" s="11"/>
      <c r="H20" s="11"/>
      <c r="I20" s="78">
        <v>38433</v>
      </c>
      <c r="J20" s="78">
        <v>1749</v>
      </c>
      <c r="K20" s="78">
        <f t="shared" si="1"/>
        <v>40182</v>
      </c>
      <c r="L20" s="90">
        <v>1.124</v>
      </c>
      <c r="M20" s="79">
        <f>ROUND(25/(D20+E20+F20+G20+H20+'Началка-инклюзия'!D19+'Началка-инклюзия'!E19+'Началка-инклюзия'!F19)*5,3)</f>
        <v>1.389</v>
      </c>
      <c r="N20" s="78">
        <f t="shared" si="2"/>
        <v>60578</v>
      </c>
      <c r="O20" s="9">
        <f t="shared" si="3"/>
        <v>1777</v>
      </c>
      <c r="P20" s="9">
        <f t="shared" si="4"/>
        <v>20.2</v>
      </c>
      <c r="Q20" s="9">
        <f t="shared" si="5"/>
        <v>0</v>
      </c>
      <c r="R20" s="9">
        <f t="shared" si="6"/>
        <v>0</v>
      </c>
      <c r="S20" s="9">
        <f t="shared" si="7"/>
        <v>0</v>
      </c>
      <c r="T20" s="9">
        <f t="shared" si="0"/>
        <v>1797.2</v>
      </c>
      <c r="U20" s="80">
        <v>0.968</v>
      </c>
      <c r="V20" s="9">
        <f t="shared" si="8"/>
        <v>1720.1</v>
      </c>
      <c r="W20" s="9">
        <f t="shared" si="9"/>
        <v>19.6</v>
      </c>
      <c r="X20" s="9">
        <f t="shared" si="10"/>
        <v>0</v>
      </c>
      <c r="Y20" s="9">
        <f t="shared" si="11"/>
        <v>0</v>
      </c>
      <c r="Z20" s="9">
        <f t="shared" si="12"/>
        <v>0</v>
      </c>
      <c r="AA20" s="81">
        <f t="shared" si="13"/>
        <v>1739.6999999999998</v>
      </c>
      <c r="AB20" s="82"/>
      <c r="AC20" s="82"/>
      <c r="AD20" s="83"/>
      <c r="AE20" s="83"/>
    </row>
    <row r="21" spans="1:31" s="10" customFormat="1" ht="15.75">
      <c r="A21" s="74">
        <v>13</v>
      </c>
      <c r="B21" s="91" t="s">
        <v>44</v>
      </c>
      <c r="C21" s="76">
        <v>5</v>
      </c>
      <c r="D21" s="11">
        <v>258</v>
      </c>
      <c r="E21" s="11"/>
      <c r="F21" s="11"/>
      <c r="G21" s="11"/>
      <c r="H21" s="11"/>
      <c r="I21" s="78">
        <v>38433</v>
      </c>
      <c r="J21" s="78">
        <v>1749</v>
      </c>
      <c r="K21" s="78">
        <f t="shared" si="1"/>
        <v>40182</v>
      </c>
      <c r="L21" s="90">
        <v>1.124</v>
      </c>
      <c r="M21" s="79">
        <f>ROUND(25/(D21+E21+F21+G21+H21+'Началка-инклюзия'!D20+'Началка-инклюзия'!E20+'Началка-инклюзия'!F20)*12,3)</f>
        <v>1.141</v>
      </c>
      <c r="N21" s="78">
        <f t="shared" si="2"/>
        <v>50613</v>
      </c>
      <c r="O21" s="9">
        <f t="shared" si="3"/>
        <v>4352.7</v>
      </c>
      <c r="P21" s="9">
        <f t="shared" si="4"/>
        <v>0</v>
      </c>
      <c r="Q21" s="9">
        <f t="shared" si="5"/>
        <v>0</v>
      </c>
      <c r="R21" s="9">
        <f t="shared" si="6"/>
        <v>0</v>
      </c>
      <c r="S21" s="9">
        <f t="shared" si="7"/>
        <v>0</v>
      </c>
      <c r="T21" s="9">
        <f t="shared" si="0"/>
        <v>4352.7</v>
      </c>
      <c r="U21" s="80">
        <v>0.881</v>
      </c>
      <c r="V21" s="9">
        <f t="shared" si="8"/>
        <v>3834.7</v>
      </c>
      <c r="W21" s="9">
        <f t="shared" si="9"/>
        <v>0</v>
      </c>
      <c r="X21" s="9">
        <f t="shared" si="10"/>
        <v>0</v>
      </c>
      <c r="Y21" s="9">
        <f t="shared" si="11"/>
        <v>0</v>
      </c>
      <c r="Z21" s="9">
        <f t="shared" si="12"/>
        <v>0</v>
      </c>
      <c r="AA21" s="81">
        <f t="shared" si="13"/>
        <v>3834.7</v>
      </c>
      <c r="AB21" s="82"/>
      <c r="AC21" s="82"/>
      <c r="AD21" s="83"/>
      <c r="AE21" s="83"/>
    </row>
    <row r="22" spans="1:31" s="10" customFormat="1" ht="19.5" customHeight="1">
      <c r="A22" s="84">
        <v>14</v>
      </c>
      <c r="B22" s="91" t="s">
        <v>45</v>
      </c>
      <c r="C22" s="76">
        <v>5</v>
      </c>
      <c r="D22" s="11">
        <v>30</v>
      </c>
      <c r="E22" s="11"/>
      <c r="F22" s="11"/>
      <c r="G22" s="11"/>
      <c r="H22" s="11"/>
      <c r="I22" s="78">
        <v>38433</v>
      </c>
      <c r="J22" s="78">
        <v>1749</v>
      </c>
      <c r="K22" s="78">
        <f t="shared" si="1"/>
        <v>40182</v>
      </c>
      <c r="L22" s="90">
        <v>1.124</v>
      </c>
      <c r="M22" s="79">
        <f>ROUND(25/(D22+E22+F22+G22+H22+'Началка-инклюзия'!D21+'Началка-инклюзия'!E21+'Началка-инклюзия'!F21)*4,3)</f>
        <v>3.226</v>
      </c>
      <c r="N22" s="78">
        <f t="shared" si="2"/>
        <v>134393</v>
      </c>
      <c r="O22" s="9">
        <f t="shared" si="3"/>
        <v>1343.9</v>
      </c>
      <c r="P22" s="9">
        <f t="shared" si="4"/>
        <v>0</v>
      </c>
      <c r="Q22" s="9">
        <f t="shared" si="5"/>
        <v>0</v>
      </c>
      <c r="R22" s="9">
        <f t="shared" si="6"/>
        <v>0</v>
      </c>
      <c r="S22" s="9">
        <f t="shared" si="7"/>
        <v>0</v>
      </c>
      <c r="T22" s="9">
        <f t="shared" si="0"/>
        <v>1343.9</v>
      </c>
      <c r="U22" s="80">
        <v>1.12</v>
      </c>
      <c r="V22" s="9">
        <f t="shared" si="8"/>
        <v>1505.2</v>
      </c>
      <c r="W22" s="9">
        <f t="shared" si="9"/>
        <v>0</v>
      </c>
      <c r="X22" s="9">
        <f t="shared" si="10"/>
        <v>0</v>
      </c>
      <c r="Y22" s="9">
        <f t="shared" si="11"/>
        <v>0</v>
      </c>
      <c r="Z22" s="9">
        <f t="shared" si="12"/>
        <v>0</v>
      </c>
      <c r="AA22" s="81">
        <f t="shared" si="13"/>
        <v>1505.2</v>
      </c>
      <c r="AB22" s="82"/>
      <c r="AC22" s="82"/>
      <c r="AD22" s="83"/>
      <c r="AE22" s="83"/>
    </row>
    <row r="23" spans="1:31" s="10" customFormat="1" ht="15.75">
      <c r="A23" s="74">
        <v>15</v>
      </c>
      <c r="B23" s="91" t="s">
        <v>46</v>
      </c>
      <c r="C23" s="76">
        <v>5</v>
      </c>
      <c r="D23" s="11">
        <v>163</v>
      </c>
      <c r="E23" s="11"/>
      <c r="F23" s="11"/>
      <c r="G23" s="11">
        <v>1</v>
      </c>
      <c r="H23" s="11"/>
      <c r="I23" s="78">
        <v>38433</v>
      </c>
      <c r="J23" s="78">
        <v>1749</v>
      </c>
      <c r="K23" s="78">
        <f t="shared" si="1"/>
        <v>40182</v>
      </c>
      <c r="L23" s="90">
        <v>1.124</v>
      </c>
      <c r="M23" s="79">
        <f>ROUND(25/(D23+E23+F23+G23+H23+'Началка-инклюзия'!D22+'Началка-инклюзия'!E22+'Началка-инклюзия'!F22)*8,3)</f>
        <v>1.17</v>
      </c>
      <c r="N23" s="78">
        <f t="shared" si="2"/>
        <v>51779</v>
      </c>
      <c r="O23" s="9">
        <f t="shared" si="3"/>
        <v>2813.3</v>
      </c>
      <c r="P23" s="9">
        <f t="shared" si="4"/>
        <v>0</v>
      </c>
      <c r="Q23" s="9">
        <f t="shared" si="5"/>
        <v>0</v>
      </c>
      <c r="R23" s="9">
        <f t="shared" si="6"/>
        <v>17.3</v>
      </c>
      <c r="S23" s="9">
        <f t="shared" si="7"/>
        <v>0</v>
      </c>
      <c r="T23" s="9">
        <f t="shared" si="0"/>
        <v>2830.6000000000004</v>
      </c>
      <c r="U23" s="80">
        <v>0.948</v>
      </c>
      <c r="V23" s="9">
        <f t="shared" si="8"/>
        <v>2667</v>
      </c>
      <c r="W23" s="9">
        <f t="shared" si="9"/>
        <v>0</v>
      </c>
      <c r="X23" s="9">
        <f t="shared" si="10"/>
        <v>0</v>
      </c>
      <c r="Y23" s="9">
        <f t="shared" si="11"/>
        <v>16.4</v>
      </c>
      <c r="Z23" s="9">
        <f t="shared" si="12"/>
        <v>0</v>
      </c>
      <c r="AA23" s="81">
        <f t="shared" si="13"/>
        <v>2683.4</v>
      </c>
      <c r="AB23" s="82"/>
      <c r="AC23" s="82"/>
      <c r="AD23" s="83"/>
      <c r="AE23" s="83"/>
    </row>
    <row r="24" spans="1:31" s="10" customFormat="1" ht="15.75" customHeight="1">
      <c r="A24" s="84">
        <v>16</v>
      </c>
      <c r="B24" s="91" t="s">
        <v>47</v>
      </c>
      <c r="C24" s="76">
        <v>5</v>
      </c>
      <c r="D24" s="11">
        <v>53</v>
      </c>
      <c r="E24" s="11"/>
      <c r="F24" s="11"/>
      <c r="G24" s="11"/>
      <c r="H24" s="11"/>
      <c r="I24" s="78">
        <v>38433</v>
      </c>
      <c r="J24" s="78">
        <v>1749</v>
      </c>
      <c r="K24" s="78">
        <f t="shared" si="1"/>
        <v>40182</v>
      </c>
      <c r="L24" s="90">
        <v>1.124</v>
      </c>
      <c r="M24" s="79">
        <f>ROUND(25/(D24+E24+F24+G24+H24+'Началка-инклюзия'!D23+'Началка-инклюзия'!E23+'Началка-инклюзия'!F23)*4,3)</f>
        <v>1.852</v>
      </c>
      <c r="N24" s="78">
        <f t="shared" si="2"/>
        <v>79183</v>
      </c>
      <c r="O24" s="9">
        <f t="shared" si="3"/>
        <v>1398.9</v>
      </c>
      <c r="P24" s="9">
        <f t="shared" si="4"/>
        <v>0</v>
      </c>
      <c r="Q24" s="9">
        <f t="shared" si="5"/>
        <v>0</v>
      </c>
      <c r="R24" s="9">
        <f t="shared" si="6"/>
        <v>0</v>
      </c>
      <c r="S24" s="9">
        <f t="shared" si="7"/>
        <v>0</v>
      </c>
      <c r="T24" s="9">
        <f t="shared" si="0"/>
        <v>1398.9</v>
      </c>
      <c r="U24" s="80">
        <v>0.771</v>
      </c>
      <c r="V24" s="9">
        <f t="shared" si="8"/>
        <v>1078.6</v>
      </c>
      <c r="W24" s="9">
        <f t="shared" si="9"/>
        <v>0</v>
      </c>
      <c r="X24" s="9">
        <f t="shared" si="10"/>
        <v>0</v>
      </c>
      <c r="Y24" s="9">
        <f t="shared" si="11"/>
        <v>0</v>
      </c>
      <c r="Z24" s="9">
        <f t="shared" si="12"/>
        <v>0</v>
      </c>
      <c r="AA24" s="81">
        <f t="shared" si="13"/>
        <v>1078.6</v>
      </c>
      <c r="AB24" s="82"/>
      <c r="AC24" s="82"/>
      <c r="AD24" s="83"/>
      <c r="AE24" s="83"/>
    </row>
    <row r="25" spans="1:31" s="10" customFormat="1" ht="15.75">
      <c r="A25" s="74">
        <v>17</v>
      </c>
      <c r="B25" s="91" t="s">
        <v>48</v>
      </c>
      <c r="C25" s="76">
        <v>5</v>
      </c>
      <c r="D25" s="11">
        <v>27</v>
      </c>
      <c r="E25" s="11"/>
      <c r="F25" s="11"/>
      <c r="G25" s="11"/>
      <c r="H25" s="11"/>
      <c r="I25" s="78">
        <v>38433</v>
      </c>
      <c r="J25" s="78">
        <v>1749</v>
      </c>
      <c r="K25" s="78">
        <f t="shared" si="1"/>
        <v>40182</v>
      </c>
      <c r="L25" s="90">
        <v>1.124</v>
      </c>
      <c r="M25" s="79">
        <f>ROUND(25/(D25+E25+F25+G25+H25+'Началка-инклюзия'!D24+'Началка-инклюзия'!E24+'Началка-инклюзия'!F24)*3,3)</f>
        <v>2.586</v>
      </c>
      <c r="N25" s="78">
        <f t="shared" si="2"/>
        <v>108676</v>
      </c>
      <c r="O25" s="9">
        <f t="shared" si="3"/>
        <v>978.1</v>
      </c>
      <c r="P25" s="9">
        <f t="shared" si="4"/>
        <v>0</v>
      </c>
      <c r="Q25" s="9">
        <f t="shared" si="5"/>
        <v>0</v>
      </c>
      <c r="R25" s="9">
        <f t="shared" si="6"/>
        <v>0</v>
      </c>
      <c r="S25" s="9">
        <f t="shared" si="7"/>
        <v>0</v>
      </c>
      <c r="T25" s="9">
        <f t="shared" si="0"/>
        <v>978.1</v>
      </c>
      <c r="U25" s="80">
        <v>0.829</v>
      </c>
      <c r="V25" s="9">
        <f t="shared" si="8"/>
        <v>810.8</v>
      </c>
      <c r="W25" s="9">
        <f t="shared" si="9"/>
        <v>0</v>
      </c>
      <c r="X25" s="9">
        <f t="shared" si="10"/>
        <v>0</v>
      </c>
      <c r="Y25" s="9">
        <f t="shared" si="11"/>
        <v>0</v>
      </c>
      <c r="Z25" s="9">
        <f t="shared" si="12"/>
        <v>0</v>
      </c>
      <c r="AA25" s="81">
        <f t="shared" si="13"/>
        <v>810.8</v>
      </c>
      <c r="AB25" s="82"/>
      <c r="AC25" s="82"/>
      <c r="AD25" s="83"/>
      <c r="AE25" s="83"/>
    </row>
    <row r="26" spans="1:31" s="10" customFormat="1" ht="15.75">
      <c r="A26" s="84">
        <v>18</v>
      </c>
      <c r="B26" s="91" t="s">
        <v>49</v>
      </c>
      <c r="C26" s="76">
        <v>5</v>
      </c>
      <c r="D26" s="11">
        <v>343</v>
      </c>
      <c r="E26" s="11"/>
      <c r="F26" s="11"/>
      <c r="G26" s="11"/>
      <c r="H26" s="11"/>
      <c r="I26" s="78">
        <v>38433</v>
      </c>
      <c r="J26" s="78">
        <v>1749</v>
      </c>
      <c r="K26" s="78">
        <f t="shared" si="1"/>
        <v>40182</v>
      </c>
      <c r="L26" s="90">
        <v>1.124</v>
      </c>
      <c r="M26" s="79">
        <v>1</v>
      </c>
      <c r="N26" s="78">
        <f t="shared" si="2"/>
        <v>44948</v>
      </c>
      <c r="O26" s="9">
        <f t="shared" si="3"/>
        <v>5139.1</v>
      </c>
      <c r="P26" s="9">
        <f t="shared" si="4"/>
        <v>0</v>
      </c>
      <c r="Q26" s="9">
        <f t="shared" si="5"/>
        <v>0</v>
      </c>
      <c r="R26" s="9">
        <f t="shared" si="6"/>
        <v>0</v>
      </c>
      <c r="S26" s="9">
        <f t="shared" si="7"/>
        <v>0</v>
      </c>
      <c r="T26" s="9">
        <f t="shared" si="0"/>
        <v>5139.1</v>
      </c>
      <c r="U26" s="80">
        <v>0.963</v>
      </c>
      <c r="V26" s="9">
        <f t="shared" si="8"/>
        <v>4949</v>
      </c>
      <c r="W26" s="9">
        <f t="shared" si="9"/>
        <v>0</v>
      </c>
      <c r="X26" s="9">
        <f t="shared" si="10"/>
        <v>0</v>
      </c>
      <c r="Y26" s="9">
        <f t="shared" si="11"/>
        <v>0</v>
      </c>
      <c r="Z26" s="9">
        <f t="shared" si="12"/>
        <v>0</v>
      </c>
      <c r="AA26" s="81">
        <f t="shared" si="13"/>
        <v>4949</v>
      </c>
      <c r="AB26" s="82"/>
      <c r="AC26" s="82"/>
      <c r="AD26" s="83"/>
      <c r="AE26" s="83"/>
    </row>
    <row r="27" spans="1:31" s="10" customFormat="1" ht="15.75">
      <c r="A27" s="74">
        <v>19</v>
      </c>
      <c r="B27" s="91" t="s">
        <v>50</v>
      </c>
      <c r="C27" s="76">
        <v>5</v>
      </c>
      <c r="D27" s="11">
        <v>26</v>
      </c>
      <c r="E27" s="11">
        <v>1</v>
      </c>
      <c r="F27" s="11"/>
      <c r="G27" s="11"/>
      <c r="H27" s="11"/>
      <c r="I27" s="78">
        <v>38433</v>
      </c>
      <c r="J27" s="78">
        <v>1749</v>
      </c>
      <c r="K27" s="78">
        <f t="shared" si="1"/>
        <v>40182</v>
      </c>
      <c r="L27" s="90">
        <v>1.124</v>
      </c>
      <c r="M27" s="79">
        <f>ROUND(25/(D27+E27+F27+G27+H27+'Началка-инклюзия'!D26+'Началка-инклюзия'!E26+'Началка-инклюзия'!F26)*3,3)</f>
        <v>2.679</v>
      </c>
      <c r="N27" s="78">
        <f t="shared" si="2"/>
        <v>112413</v>
      </c>
      <c r="O27" s="9">
        <f t="shared" si="3"/>
        <v>974.2</v>
      </c>
      <c r="P27" s="9">
        <f t="shared" si="4"/>
        <v>37.5</v>
      </c>
      <c r="Q27" s="9">
        <f t="shared" si="5"/>
        <v>0</v>
      </c>
      <c r="R27" s="9">
        <f t="shared" si="6"/>
        <v>0</v>
      </c>
      <c r="S27" s="9">
        <f t="shared" si="7"/>
        <v>0</v>
      </c>
      <c r="T27" s="9">
        <f t="shared" si="0"/>
        <v>1011.7</v>
      </c>
      <c r="U27" s="80">
        <v>0.903</v>
      </c>
      <c r="V27" s="9">
        <f t="shared" si="8"/>
        <v>879.7</v>
      </c>
      <c r="W27" s="9">
        <f t="shared" si="9"/>
        <v>33.9</v>
      </c>
      <c r="X27" s="9">
        <f t="shared" si="10"/>
        <v>0</v>
      </c>
      <c r="Y27" s="9">
        <f t="shared" si="11"/>
        <v>0</v>
      </c>
      <c r="Z27" s="9">
        <f t="shared" si="12"/>
        <v>0</v>
      </c>
      <c r="AA27" s="81">
        <f t="shared" si="13"/>
        <v>913.6</v>
      </c>
      <c r="AB27" s="82"/>
      <c r="AC27" s="82"/>
      <c r="AD27" s="83"/>
      <c r="AE27" s="83"/>
    </row>
    <row r="28" spans="1:31" s="10" customFormat="1" ht="15" customHeight="1">
      <c r="A28" s="84">
        <v>20</v>
      </c>
      <c r="B28" s="91" t="s">
        <v>51</v>
      </c>
      <c r="C28" s="76">
        <v>5</v>
      </c>
      <c r="D28" s="11">
        <v>134</v>
      </c>
      <c r="E28" s="11"/>
      <c r="F28" s="11"/>
      <c r="G28" s="11"/>
      <c r="H28" s="11"/>
      <c r="I28" s="78">
        <v>38433</v>
      </c>
      <c r="J28" s="78">
        <v>1749</v>
      </c>
      <c r="K28" s="78">
        <f t="shared" si="1"/>
        <v>40182</v>
      </c>
      <c r="L28" s="90">
        <v>1.124</v>
      </c>
      <c r="M28" s="79">
        <f>ROUND(25/(D28+E28+F28+G28+H28+'Началка-инклюзия'!D27+'Началка-инклюзия'!E27+'Началка-инклюзия'!F27)*8,3)</f>
        <v>1.481</v>
      </c>
      <c r="N28" s="78">
        <f t="shared" si="2"/>
        <v>64275</v>
      </c>
      <c r="O28" s="9">
        <f t="shared" si="3"/>
        <v>2871</v>
      </c>
      <c r="P28" s="9">
        <f t="shared" si="4"/>
        <v>0</v>
      </c>
      <c r="Q28" s="9">
        <f t="shared" si="5"/>
        <v>0</v>
      </c>
      <c r="R28" s="9">
        <f t="shared" si="6"/>
        <v>0</v>
      </c>
      <c r="S28" s="9">
        <f t="shared" si="7"/>
        <v>0</v>
      </c>
      <c r="T28" s="9">
        <f t="shared" si="0"/>
        <v>2871</v>
      </c>
      <c r="U28" s="80">
        <v>0.838</v>
      </c>
      <c r="V28" s="9">
        <f t="shared" si="8"/>
        <v>2405.9</v>
      </c>
      <c r="W28" s="9">
        <f t="shared" si="9"/>
        <v>0</v>
      </c>
      <c r="X28" s="9">
        <f t="shared" si="10"/>
        <v>0</v>
      </c>
      <c r="Y28" s="9">
        <f t="shared" si="11"/>
        <v>0</v>
      </c>
      <c r="Z28" s="9">
        <f t="shared" si="12"/>
        <v>0</v>
      </c>
      <c r="AA28" s="81">
        <f t="shared" si="13"/>
        <v>2405.9</v>
      </c>
      <c r="AB28" s="82"/>
      <c r="AC28" s="82"/>
      <c r="AD28" s="83"/>
      <c r="AE28" s="83"/>
    </row>
    <row r="29" spans="1:31" s="10" customFormat="1" ht="18.75" customHeight="1">
      <c r="A29" s="74">
        <v>21</v>
      </c>
      <c r="B29" s="91" t="s">
        <v>52</v>
      </c>
      <c r="C29" s="76">
        <v>5</v>
      </c>
      <c r="D29" s="11">
        <v>32</v>
      </c>
      <c r="E29" s="11"/>
      <c r="F29" s="11"/>
      <c r="G29" s="11"/>
      <c r="H29" s="11"/>
      <c r="I29" s="78">
        <v>38433</v>
      </c>
      <c r="J29" s="78">
        <v>1749</v>
      </c>
      <c r="K29" s="78">
        <f t="shared" si="1"/>
        <v>40182</v>
      </c>
      <c r="L29" s="90">
        <v>1.124</v>
      </c>
      <c r="M29" s="79">
        <f>ROUND(25/(D29+E29+F29+G29+H29+'Началка-инклюзия'!D28+'Началка-инклюзия'!E28+'Началка-инклюзия'!F28)*3,3)</f>
        <v>2.206</v>
      </c>
      <c r="N29" s="78">
        <f t="shared" si="2"/>
        <v>93407</v>
      </c>
      <c r="O29" s="9">
        <f t="shared" si="3"/>
        <v>996.3</v>
      </c>
      <c r="P29" s="9">
        <f t="shared" si="4"/>
        <v>0</v>
      </c>
      <c r="Q29" s="9">
        <f t="shared" si="5"/>
        <v>0</v>
      </c>
      <c r="R29" s="9">
        <f t="shared" si="6"/>
        <v>0</v>
      </c>
      <c r="S29" s="9">
        <f t="shared" si="7"/>
        <v>0</v>
      </c>
      <c r="T29" s="9">
        <f t="shared" si="0"/>
        <v>996.3</v>
      </c>
      <c r="U29" s="80">
        <v>1.042</v>
      </c>
      <c r="V29" s="9">
        <f t="shared" si="8"/>
        <v>1038.1</v>
      </c>
      <c r="W29" s="9">
        <f t="shared" si="9"/>
        <v>0</v>
      </c>
      <c r="X29" s="9">
        <f t="shared" si="10"/>
        <v>0</v>
      </c>
      <c r="Y29" s="9">
        <f t="shared" si="11"/>
        <v>0</v>
      </c>
      <c r="Z29" s="9">
        <f t="shared" si="12"/>
        <v>0</v>
      </c>
      <c r="AA29" s="81">
        <f t="shared" si="13"/>
        <v>1038.1</v>
      </c>
      <c r="AB29" s="82"/>
      <c r="AC29" s="82"/>
      <c r="AD29" s="83"/>
      <c r="AE29" s="83"/>
    </row>
    <row r="30" spans="1:31" s="10" customFormat="1" ht="15.75">
      <c r="A30" s="84">
        <v>22</v>
      </c>
      <c r="B30" s="91" t="s">
        <v>53</v>
      </c>
      <c r="C30" s="76">
        <v>5</v>
      </c>
      <c r="D30" s="11">
        <v>17</v>
      </c>
      <c r="E30" s="11"/>
      <c r="F30" s="11"/>
      <c r="G30" s="11"/>
      <c r="H30" s="11"/>
      <c r="I30" s="78">
        <v>38433</v>
      </c>
      <c r="J30" s="78">
        <v>1749</v>
      </c>
      <c r="K30" s="78">
        <f t="shared" si="1"/>
        <v>40182</v>
      </c>
      <c r="L30" s="90">
        <v>1.124</v>
      </c>
      <c r="M30" s="79">
        <f>ROUND(25/(D30+E30+F30+G30+H30+'Началка-инклюзия'!D29+'Началка-инклюзия'!E29+'Началка-инклюзия'!F29)*2,3)</f>
        <v>2.941</v>
      </c>
      <c r="N30" s="78">
        <f t="shared" si="2"/>
        <v>122941</v>
      </c>
      <c r="O30" s="9">
        <f t="shared" si="3"/>
        <v>696.7</v>
      </c>
      <c r="P30" s="9">
        <f t="shared" si="4"/>
        <v>0</v>
      </c>
      <c r="Q30" s="9">
        <f t="shared" si="5"/>
        <v>0</v>
      </c>
      <c r="R30" s="9">
        <f t="shared" si="6"/>
        <v>0</v>
      </c>
      <c r="S30" s="9">
        <f t="shared" si="7"/>
        <v>0</v>
      </c>
      <c r="T30" s="9">
        <f t="shared" si="0"/>
        <v>696.7</v>
      </c>
      <c r="U30" s="80">
        <v>0.786</v>
      </c>
      <c r="V30" s="9">
        <f>ROUND(O30*U30,1)+1.1</f>
        <v>548.7</v>
      </c>
      <c r="W30" s="9">
        <f t="shared" si="9"/>
        <v>0</v>
      </c>
      <c r="X30" s="9">
        <f t="shared" si="10"/>
        <v>0</v>
      </c>
      <c r="Y30" s="9">
        <f t="shared" si="11"/>
        <v>0</v>
      </c>
      <c r="Z30" s="9">
        <f t="shared" si="12"/>
        <v>0</v>
      </c>
      <c r="AA30" s="81">
        <f t="shared" si="13"/>
        <v>548.7</v>
      </c>
      <c r="AB30" s="82"/>
      <c r="AC30" s="82"/>
      <c r="AD30" s="83"/>
      <c r="AE30" s="83"/>
    </row>
    <row r="31" spans="1:31" s="10" customFormat="1" ht="15.75">
      <c r="A31" s="74">
        <v>23</v>
      </c>
      <c r="B31" s="91" t="s">
        <v>54</v>
      </c>
      <c r="C31" s="76">
        <v>5</v>
      </c>
      <c r="D31" s="11">
        <v>17</v>
      </c>
      <c r="E31" s="11"/>
      <c r="F31" s="11"/>
      <c r="G31" s="11"/>
      <c r="H31" s="11"/>
      <c r="I31" s="78">
        <v>38433</v>
      </c>
      <c r="J31" s="78">
        <v>1749</v>
      </c>
      <c r="K31" s="78">
        <f t="shared" si="1"/>
        <v>40182</v>
      </c>
      <c r="L31" s="90">
        <v>1.124</v>
      </c>
      <c r="M31" s="79">
        <f>ROUND(25/(D31+E31+F31+G31+H31+'Началка-инклюзия'!D30+'Началка-инклюзия'!E30+'Началка-инклюзия'!F30)*2,3)</f>
        <v>2.941</v>
      </c>
      <c r="N31" s="78">
        <f t="shared" si="2"/>
        <v>122941</v>
      </c>
      <c r="O31" s="9">
        <f t="shared" si="3"/>
        <v>696.7</v>
      </c>
      <c r="P31" s="9">
        <f t="shared" si="4"/>
        <v>0</v>
      </c>
      <c r="Q31" s="9">
        <f t="shared" si="5"/>
        <v>0</v>
      </c>
      <c r="R31" s="9">
        <f t="shared" si="6"/>
        <v>0</v>
      </c>
      <c r="S31" s="9">
        <f t="shared" si="7"/>
        <v>0</v>
      </c>
      <c r="T31" s="9">
        <f t="shared" si="0"/>
        <v>696.7</v>
      </c>
      <c r="U31" s="80">
        <v>1.141</v>
      </c>
      <c r="V31" s="9">
        <f>ROUND(O31*U31,1)+0.3</f>
        <v>795.1999999999999</v>
      </c>
      <c r="W31" s="9">
        <f t="shared" si="9"/>
        <v>0</v>
      </c>
      <c r="X31" s="9">
        <f t="shared" si="10"/>
        <v>0</v>
      </c>
      <c r="Y31" s="9">
        <f t="shared" si="11"/>
        <v>0</v>
      </c>
      <c r="Z31" s="9">
        <f t="shared" si="12"/>
        <v>0</v>
      </c>
      <c r="AA31" s="81">
        <f t="shared" si="13"/>
        <v>795.1999999999999</v>
      </c>
      <c r="AB31" s="82"/>
      <c r="AC31" s="82"/>
      <c r="AD31" s="83"/>
      <c r="AE31" s="83"/>
    </row>
    <row r="32" spans="1:31" s="10" customFormat="1" ht="18" customHeight="1">
      <c r="A32" s="84">
        <v>24</v>
      </c>
      <c r="B32" s="91" t="s">
        <v>55</v>
      </c>
      <c r="C32" s="76">
        <v>5</v>
      </c>
      <c r="D32" s="11">
        <v>35</v>
      </c>
      <c r="E32" s="11"/>
      <c r="F32" s="11"/>
      <c r="G32" s="11"/>
      <c r="H32" s="11"/>
      <c r="I32" s="78">
        <v>38433</v>
      </c>
      <c r="J32" s="78">
        <v>1749</v>
      </c>
      <c r="K32" s="78">
        <f t="shared" si="1"/>
        <v>40182</v>
      </c>
      <c r="L32" s="90">
        <v>1.124</v>
      </c>
      <c r="M32" s="79">
        <f>ROUND(25/(D32+E32+F32+G32+H32+'Началка-инклюзия'!D31+'Началка-инклюзия'!E31+'Началка-инклюзия'!F31)*4,3)</f>
        <v>2.703</v>
      </c>
      <c r="N32" s="78">
        <f t="shared" si="2"/>
        <v>113378</v>
      </c>
      <c r="O32" s="9">
        <f t="shared" si="3"/>
        <v>1322.7</v>
      </c>
      <c r="P32" s="9">
        <f t="shared" si="4"/>
        <v>0</v>
      </c>
      <c r="Q32" s="9">
        <f t="shared" si="5"/>
        <v>0</v>
      </c>
      <c r="R32" s="9">
        <f t="shared" si="6"/>
        <v>0</v>
      </c>
      <c r="S32" s="9">
        <f t="shared" si="7"/>
        <v>0</v>
      </c>
      <c r="T32" s="9">
        <f t="shared" si="0"/>
        <v>1322.7</v>
      </c>
      <c r="U32" s="80">
        <v>0.826</v>
      </c>
      <c r="V32" s="9">
        <f t="shared" si="8"/>
        <v>1092.6</v>
      </c>
      <c r="W32" s="9">
        <f t="shared" si="9"/>
        <v>0</v>
      </c>
      <c r="X32" s="9">
        <f t="shared" si="10"/>
        <v>0</v>
      </c>
      <c r="Y32" s="9">
        <f t="shared" si="11"/>
        <v>0</v>
      </c>
      <c r="Z32" s="9">
        <f t="shared" si="12"/>
        <v>0</v>
      </c>
      <c r="AA32" s="81">
        <f t="shared" si="13"/>
        <v>1092.6</v>
      </c>
      <c r="AB32" s="82"/>
      <c r="AC32" s="82"/>
      <c r="AD32" s="83"/>
      <c r="AE32" s="83"/>
    </row>
    <row r="33" spans="1:31" s="10" customFormat="1" ht="24" customHeight="1">
      <c r="A33" s="74">
        <v>25</v>
      </c>
      <c r="B33" s="91" t="s">
        <v>56</v>
      </c>
      <c r="C33" s="76">
        <v>5</v>
      </c>
      <c r="D33" s="11">
        <v>29</v>
      </c>
      <c r="E33" s="11"/>
      <c r="F33" s="11"/>
      <c r="G33" s="11"/>
      <c r="H33" s="11"/>
      <c r="I33" s="78">
        <v>38433</v>
      </c>
      <c r="J33" s="78">
        <v>1749</v>
      </c>
      <c r="K33" s="78">
        <f t="shared" si="1"/>
        <v>40182</v>
      </c>
      <c r="L33" s="90">
        <v>1.124</v>
      </c>
      <c r="M33" s="79">
        <f>ROUND(25/(D33+E33+F33+G33+H33+'Началка-инклюзия'!D32+'Началка-инклюзия'!E32+'Началка-инклюзия'!F32)*4,3)</f>
        <v>3.448</v>
      </c>
      <c r="N33" s="78">
        <f t="shared" si="2"/>
        <v>143313</v>
      </c>
      <c r="O33" s="9">
        <f t="shared" si="3"/>
        <v>1385.4</v>
      </c>
      <c r="P33" s="9">
        <f t="shared" si="4"/>
        <v>0</v>
      </c>
      <c r="Q33" s="9">
        <f t="shared" si="5"/>
        <v>0</v>
      </c>
      <c r="R33" s="9">
        <f t="shared" si="6"/>
        <v>0</v>
      </c>
      <c r="S33" s="9">
        <f t="shared" si="7"/>
        <v>0</v>
      </c>
      <c r="T33" s="9">
        <f t="shared" si="0"/>
        <v>1385.4</v>
      </c>
      <c r="U33" s="80">
        <v>0.823</v>
      </c>
      <c r="V33" s="9">
        <f>ROUND(O33*U33,1)-1.9</f>
        <v>1138.3</v>
      </c>
      <c r="W33" s="9">
        <f t="shared" si="9"/>
        <v>0</v>
      </c>
      <c r="X33" s="9">
        <f t="shared" si="10"/>
        <v>0</v>
      </c>
      <c r="Y33" s="9">
        <f t="shared" si="11"/>
        <v>0</v>
      </c>
      <c r="Z33" s="9">
        <f t="shared" si="12"/>
        <v>0</v>
      </c>
      <c r="AA33" s="81">
        <f t="shared" si="13"/>
        <v>1138.3</v>
      </c>
      <c r="AB33" s="82"/>
      <c r="AC33" s="82"/>
      <c r="AD33" s="83"/>
      <c r="AE33" s="83"/>
    </row>
    <row r="34" spans="1:31" s="10" customFormat="1" ht="37.5" customHeight="1">
      <c r="A34" s="84">
        <v>26</v>
      </c>
      <c r="B34" s="91" t="s">
        <v>57</v>
      </c>
      <c r="C34" s="76">
        <v>5</v>
      </c>
      <c r="D34" s="11">
        <v>22</v>
      </c>
      <c r="E34" s="11"/>
      <c r="F34" s="11"/>
      <c r="G34" s="11"/>
      <c r="H34" s="11"/>
      <c r="I34" s="78">
        <v>38433</v>
      </c>
      <c r="J34" s="78">
        <v>1749</v>
      </c>
      <c r="K34" s="78">
        <f t="shared" si="1"/>
        <v>40182</v>
      </c>
      <c r="L34" s="90">
        <v>1.124</v>
      </c>
      <c r="M34" s="79">
        <f>ROUND(25/(D34+E34+F34+G34+H34+'Началка-инклюзия'!D33+'Началка-инклюзия'!E33+'Началка-инклюзия'!F33)*3,3)</f>
        <v>3.125</v>
      </c>
      <c r="N34" s="78">
        <f t="shared" si="2"/>
        <v>130334</v>
      </c>
      <c r="O34" s="9">
        <f t="shared" si="3"/>
        <v>955.8</v>
      </c>
      <c r="P34" s="9">
        <f t="shared" si="4"/>
        <v>0</v>
      </c>
      <c r="Q34" s="9">
        <f t="shared" si="5"/>
        <v>0</v>
      </c>
      <c r="R34" s="9">
        <f t="shared" si="6"/>
        <v>0</v>
      </c>
      <c r="S34" s="9">
        <f t="shared" si="7"/>
        <v>0</v>
      </c>
      <c r="T34" s="9">
        <f t="shared" si="0"/>
        <v>955.8</v>
      </c>
      <c r="U34" s="80">
        <v>0.8</v>
      </c>
      <c r="V34" s="9">
        <f t="shared" si="8"/>
        <v>764.6</v>
      </c>
      <c r="W34" s="9">
        <f t="shared" si="9"/>
        <v>0</v>
      </c>
      <c r="X34" s="9">
        <f t="shared" si="10"/>
        <v>0</v>
      </c>
      <c r="Y34" s="9">
        <f t="shared" si="11"/>
        <v>0</v>
      </c>
      <c r="Z34" s="9">
        <f t="shared" si="12"/>
        <v>0</v>
      </c>
      <c r="AA34" s="81">
        <f t="shared" si="13"/>
        <v>764.6</v>
      </c>
      <c r="AB34" s="82"/>
      <c r="AC34" s="82"/>
      <c r="AD34" s="83"/>
      <c r="AE34" s="83"/>
    </row>
    <row r="35" spans="1:31" s="10" customFormat="1" ht="18.75" customHeight="1">
      <c r="A35" s="74">
        <v>27</v>
      </c>
      <c r="B35" s="91" t="s">
        <v>58</v>
      </c>
      <c r="C35" s="76">
        <v>5</v>
      </c>
      <c r="D35" s="11">
        <v>40</v>
      </c>
      <c r="E35" s="11"/>
      <c r="F35" s="11"/>
      <c r="G35" s="11"/>
      <c r="H35" s="11"/>
      <c r="I35" s="78">
        <v>38433</v>
      </c>
      <c r="J35" s="78">
        <v>1749</v>
      </c>
      <c r="K35" s="78">
        <f t="shared" si="1"/>
        <v>40182</v>
      </c>
      <c r="L35" s="90">
        <v>1.124</v>
      </c>
      <c r="M35" s="79">
        <f>ROUND(25/(D35+E35+F35+G35+H35+'Началка-инклюзия'!D34+'Началка-инклюзия'!E34+'Началка-инклюзия'!F34)*4,3)</f>
        <v>2.381</v>
      </c>
      <c r="N35" s="78">
        <f t="shared" si="2"/>
        <v>100439</v>
      </c>
      <c r="O35" s="9">
        <f t="shared" si="3"/>
        <v>1339.2</v>
      </c>
      <c r="P35" s="9">
        <f t="shared" si="4"/>
        <v>0</v>
      </c>
      <c r="Q35" s="9">
        <f t="shared" si="5"/>
        <v>0</v>
      </c>
      <c r="R35" s="9">
        <f t="shared" si="6"/>
        <v>0</v>
      </c>
      <c r="S35" s="9">
        <f t="shared" si="7"/>
        <v>0</v>
      </c>
      <c r="T35" s="9">
        <f t="shared" si="0"/>
        <v>1339.2</v>
      </c>
      <c r="U35" s="80">
        <v>0.916</v>
      </c>
      <c r="V35" s="9">
        <f t="shared" si="8"/>
        <v>1226.7</v>
      </c>
      <c r="W35" s="9">
        <f t="shared" si="9"/>
        <v>0</v>
      </c>
      <c r="X35" s="9">
        <f t="shared" si="10"/>
        <v>0</v>
      </c>
      <c r="Y35" s="9">
        <f t="shared" si="11"/>
        <v>0</v>
      </c>
      <c r="Z35" s="9">
        <f t="shared" si="12"/>
        <v>0</v>
      </c>
      <c r="AA35" s="81">
        <f t="shared" si="13"/>
        <v>1226.7</v>
      </c>
      <c r="AB35" s="82"/>
      <c r="AC35" s="82"/>
      <c r="AD35" s="83"/>
      <c r="AE35" s="83"/>
    </row>
    <row r="36" spans="1:31" s="10" customFormat="1" ht="32.25" customHeight="1">
      <c r="A36" s="84">
        <v>28</v>
      </c>
      <c r="B36" s="91" t="s">
        <v>59</v>
      </c>
      <c r="C36" s="76">
        <v>5</v>
      </c>
      <c r="D36" s="11">
        <v>19</v>
      </c>
      <c r="E36" s="11"/>
      <c r="F36" s="11"/>
      <c r="G36" s="11"/>
      <c r="H36" s="11"/>
      <c r="I36" s="78">
        <v>38433</v>
      </c>
      <c r="J36" s="78">
        <v>1749</v>
      </c>
      <c r="K36" s="78">
        <f t="shared" si="1"/>
        <v>40182</v>
      </c>
      <c r="L36" s="90">
        <v>1.124</v>
      </c>
      <c r="M36" s="79">
        <f>ROUND(25/(D36+E36+F36+G36+H36+'Началка-инклюзия'!D35+'Началка-инклюзия'!E35+'Началка-инклюзия'!F35)*2,3)</f>
        <v>2.632</v>
      </c>
      <c r="N36" s="78">
        <f>ROUND(I36*(L36-1)+K36*(M36-1)+K36,0)</f>
        <v>110525</v>
      </c>
      <c r="O36" s="9">
        <f t="shared" si="3"/>
        <v>700</v>
      </c>
      <c r="P36" s="9">
        <f t="shared" si="4"/>
        <v>0</v>
      </c>
      <c r="Q36" s="9">
        <f t="shared" si="5"/>
        <v>0</v>
      </c>
      <c r="R36" s="9">
        <f t="shared" si="6"/>
        <v>0</v>
      </c>
      <c r="S36" s="9">
        <f t="shared" si="7"/>
        <v>0</v>
      </c>
      <c r="T36" s="9">
        <f t="shared" si="0"/>
        <v>700</v>
      </c>
      <c r="U36" s="80">
        <v>0.789</v>
      </c>
      <c r="V36" s="9">
        <f>ROUND(O36*U36,1)+1</f>
        <v>553.3</v>
      </c>
      <c r="W36" s="9">
        <f t="shared" si="9"/>
        <v>0</v>
      </c>
      <c r="X36" s="9">
        <f t="shared" si="10"/>
        <v>0</v>
      </c>
      <c r="Y36" s="9">
        <f t="shared" si="11"/>
        <v>0</v>
      </c>
      <c r="Z36" s="9">
        <f t="shared" si="12"/>
        <v>0</v>
      </c>
      <c r="AA36" s="81">
        <f t="shared" si="13"/>
        <v>553.3</v>
      </c>
      <c r="AB36" s="82"/>
      <c r="AC36" s="82"/>
      <c r="AD36" s="83"/>
      <c r="AE36" s="83"/>
    </row>
    <row r="37" spans="1:31" s="10" customFormat="1" ht="15.75">
      <c r="A37" s="74">
        <v>29</v>
      </c>
      <c r="B37" s="91" t="s">
        <v>60</v>
      </c>
      <c r="C37" s="76">
        <v>5</v>
      </c>
      <c r="D37" s="11">
        <v>30</v>
      </c>
      <c r="E37" s="11">
        <v>1</v>
      </c>
      <c r="F37" s="11"/>
      <c r="G37" s="11"/>
      <c r="H37" s="11">
        <v>1</v>
      </c>
      <c r="I37" s="78">
        <v>38433</v>
      </c>
      <c r="J37" s="78">
        <v>1749</v>
      </c>
      <c r="K37" s="78">
        <f t="shared" si="1"/>
        <v>40182</v>
      </c>
      <c r="L37" s="90">
        <v>1.124</v>
      </c>
      <c r="M37" s="79">
        <f>ROUND(25/(D37+E37+F37+G37+H37+'Началка-инклюзия'!D36+'Началка-инклюзия'!E36+'Началка-инклюзия'!F36)*3,3)</f>
        <v>2.273</v>
      </c>
      <c r="N37" s="78">
        <f t="shared" si="2"/>
        <v>96099</v>
      </c>
      <c r="O37" s="9">
        <f t="shared" si="3"/>
        <v>961</v>
      </c>
      <c r="P37" s="9">
        <f t="shared" si="4"/>
        <v>32</v>
      </c>
      <c r="Q37" s="9">
        <f t="shared" si="5"/>
        <v>0</v>
      </c>
      <c r="R37" s="9">
        <f t="shared" si="6"/>
        <v>0</v>
      </c>
      <c r="S37" s="9">
        <f t="shared" si="7"/>
        <v>32</v>
      </c>
      <c r="T37" s="9">
        <f t="shared" si="0"/>
        <v>1025</v>
      </c>
      <c r="U37" s="80">
        <v>0.89</v>
      </c>
      <c r="V37" s="9">
        <f>ROUND(O37*U37,1)+1.2</f>
        <v>856.5</v>
      </c>
      <c r="W37" s="9">
        <f t="shared" si="9"/>
        <v>28.5</v>
      </c>
      <c r="X37" s="9">
        <f t="shared" si="10"/>
        <v>0</v>
      </c>
      <c r="Y37" s="9">
        <f t="shared" si="11"/>
        <v>0</v>
      </c>
      <c r="Z37" s="9">
        <f t="shared" si="12"/>
        <v>28.5</v>
      </c>
      <c r="AA37" s="81">
        <f t="shared" si="13"/>
        <v>913.5</v>
      </c>
      <c r="AB37" s="82"/>
      <c r="AC37" s="82"/>
      <c r="AD37" s="83"/>
      <c r="AE37" s="83"/>
    </row>
    <row r="38" spans="1:31" s="10" customFormat="1" ht="15.75">
      <c r="A38" s="84">
        <v>30</v>
      </c>
      <c r="B38" s="91" t="s">
        <v>61</v>
      </c>
      <c r="C38" s="76">
        <v>5</v>
      </c>
      <c r="D38" s="11">
        <v>31</v>
      </c>
      <c r="E38" s="11"/>
      <c r="F38" s="11"/>
      <c r="G38" s="11"/>
      <c r="H38" s="11"/>
      <c r="I38" s="78">
        <v>38433</v>
      </c>
      <c r="J38" s="78">
        <v>1749</v>
      </c>
      <c r="K38" s="78">
        <f t="shared" si="1"/>
        <v>40182</v>
      </c>
      <c r="L38" s="90">
        <v>1.124</v>
      </c>
      <c r="M38" s="79">
        <f>ROUND(25/(D38+E38+F38+G38+H38+'Началка-инклюзия'!D37+'Началка-инклюзия'!E37+'Началка-инклюзия'!F37)*3,3)</f>
        <v>2.419</v>
      </c>
      <c r="N38" s="78">
        <f t="shared" si="2"/>
        <v>101966</v>
      </c>
      <c r="O38" s="9">
        <f t="shared" si="3"/>
        <v>1053.6</v>
      </c>
      <c r="P38" s="9">
        <f t="shared" si="4"/>
        <v>0</v>
      </c>
      <c r="Q38" s="9">
        <f t="shared" si="5"/>
        <v>0</v>
      </c>
      <c r="R38" s="9">
        <f t="shared" si="6"/>
        <v>0</v>
      </c>
      <c r="S38" s="9">
        <f t="shared" si="7"/>
        <v>0</v>
      </c>
      <c r="T38" s="9">
        <f t="shared" si="0"/>
        <v>1053.6</v>
      </c>
      <c r="U38" s="80">
        <v>1.177</v>
      </c>
      <c r="V38" s="9">
        <f>ROUND(O38*U38,1)+0.7</f>
        <v>1240.8</v>
      </c>
      <c r="W38" s="9">
        <f t="shared" si="9"/>
        <v>0</v>
      </c>
      <c r="X38" s="9">
        <f t="shared" si="10"/>
        <v>0</v>
      </c>
      <c r="Y38" s="9">
        <f t="shared" si="11"/>
        <v>0</v>
      </c>
      <c r="Z38" s="9">
        <f t="shared" si="12"/>
        <v>0</v>
      </c>
      <c r="AA38" s="81">
        <f t="shared" si="13"/>
        <v>1240.8</v>
      </c>
      <c r="AB38" s="82"/>
      <c r="AC38" s="82"/>
      <c r="AD38" s="83"/>
      <c r="AE38" s="83"/>
    </row>
    <row r="39" spans="1:31" s="10" customFormat="1" ht="15.75">
      <c r="A39" s="74">
        <v>31</v>
      </c>
      <c r="B39" s="91" t="s">
        <v>62</v>
      </c>
      <c r="C39" s="76">
        <v>5</v>
      </c>
      <c r="D39" s="11">
        <v>12</v>
      </c>
      <c r="E39" s="11"/>
      <c r="F39" s="11"/>
      <c r="G39" s="11"/>
      <c r="H39" s="11"/>
      <c r="I39" s="78">
        <v>38433</v>
      </c>
      <c r="J39" s="78">
        <v>1749</v>
      </c>
      <c r="K39" s="78">
        <f t="shared" si="1"/>
        <v>40182</v>
      </c>
      <c r="L39" s="90">
        <v>1.124</v>
      </c>
      <c r="M39" s="79">
        <f>ROUND(25/(D39+E39+F39+G39+H39+'Началка-инклюзия'!D38+'Началка-инклюзия'!E38+'Началка-инклюзия'!F38)*2,3)</f>
        <v>4.167</v>
      </c>
      <c r="N39" s="78">
        <f t="shared" si="2"/>
        <v>172204</v>
      </c>
      <c r="O39" s="9">
        <f t="shared" si="3"/>
        <v>688.8</v>
      </c>
      <c r="P39" s="9">
        <f t="shared" si="4"/>
        <v>0</v>
      </c>
      <c r="Q39" s="9">
        <f t="shared" si="5"/>
        <v>0</v>
      </c>
      <c r="R39" s="9">
        <f t="shared" si="6"/>
        <v>0</v>
      </c>
      <c r="S39" s="9">
        <f t="shared" si="7"/>
        <v>0</v>
      </c>
      <c r="T39" s="9">
        <f t="shared" si="0"/>
        <v>688.8</v>
      </c>
      <c r="U39" s="80">
        <v>0.81</v>
      </c>
      <c r="V39" s="9">
        <f>ROUND(O39*U39,1)+0.3</f>
        <v>558.1999999999999</v>
      </c>
      <c r="W39" s="9">
        <f t="shared" si="9"/>
        <v>0</v>
      </c>
      <c r="X39" s="9">
        <f t="shared" si="10"/>
        <v>0</v>
      </c>
      <c r="Y39" s="9">
        <f t="shared" si="11"/>
        <v>0</v>
      </c>
      <c r="Z39" s="9">
        <f t="shared" si="12"/>
        <v>0</v>
      </c>
      <c r="AA39" s="81">
        <f t="shared" si="13"/>
        <v>558.1999999999999</v>
      </c>
      <c r="AB39" s="82"/>
      <c r="AC39" s="82"/>
      <c r="AD39" s="83"/>
      <c r="AE39" s="83"/>
    </row>
    <row r="40" spans="1:31" s="10" customFormat="1" ht="18.75" customHeight="1">
      <c r="A40" s="84">
        <v>32</v>
      </c>
      <c r="B40" s="91" t="s">
        <v>63</v>
      </c>
      <c r="C40" s="76">
        <v>5</v>
      </c>
      <c r="D40" s="11">
        <v>87</v>
      </c>
      <c r="E40" s="11"/>
      <c r="F40" s="11"/>
      <c r="G40" s="11"/>
      <c r="H40" s="11"/>
      <c r="I40" s="78">
        <v>38433</v>
      </c>
      <c r="J40" s="78">
        <v>1749</v>
      </c>
      <c r="K40" s="78">
        <f t="shared" si="1"/>
        <v>40182</v>
      </c>
      <c r="L40" s="90">
        <v>1.124</v>
      </c>
      <c r="M40" s="79">
        <f>ROUND(25/(D40+E40+F40+G40+H40+'Началка-инклюзия'!D39+'Началка-инклюзия'!E39+'Началка-инклюзия'!F39)*4,3)</f>
        <v>1.149</v>
      </c>
      <c r="N40" s="78">
        <f t="shared" si="2"/>
        <v>50935</v>
      </c>
      <c r="O40" s="9">
        <f t="shared" si="3"/>
        <v>1477.1</v>
      </c>
      <c r="P40" s="9">
        <f t="shared" si="4"/>
        <v>0</v>
      </c>
      <c r="Q40" s="9">
        <f t="shared" si="5"/>
        <v>0</v>
      </c>
      <c r="R40" s="9">
        <f t="shared" si="6"/>
        <v>0</v>
      </c>
      <c r="S40" s="9">
        <f t="shared" si="7"/>
        <v>0</v>
      </c>
      <c r="T40" s="9">
        <f t="shared" si="0"/>
        <v>1477.1</v>
      </c>
      <c r="U40" s="80">
        <v>0.901</v>
      </c>
      <c r="V40" s="9">
        <f>ROUND(O40*U40,1)+2</f>
        <v>1332.9</v>
      </c>
      <c r="W40" s="9">
        <f t="shared" si="9"/>
        <v>0</v>
      </c>
      <c r="X40" s="9">
        <f t="shared" si="10"/>
        <v>0</v>
      </c>
      <c r="Y40" s="9">
        <f t="shared" si="11"/>
        <v>0</v>
      </c>
      <c r="Z40" s="9">
        <f t="shared" si="12"/>
        <v>0</v>
      </c>
      <c r="AA40" s="81">
        <f t="shared" si="13"/>
        <v>1332.9</v>
      </c>
      <c r="AB40" s="82"/>
      <c r="AC40" s="82"/>
      <c r="AD40" s="83"/>
      <c r="AE40" s="83"/>
    </row>
    <row r="41" spans="1:31" s="10" customFormat="1" ht="30.75" customHeight="1">
      <c r="A41" s="74">
        <v>33</v>
      </c>
      <c r="B41" s="91" t="s">
        <v>64</v>
      </c>
      <c r="C41" s="76">
        <v>5</v>
      </c>
      <c r="D41" s="11">
        <v>70</v>
      </c>
      <c r="E41" s="11"/>
      <c r="F41" s="11"/>
      <c r="G41" s="11"/>
      <c r="H41" s="11"/>
      <c r="I41" s="78">
        <v>38433</v>
      </c>
      <c r="J41" s="78">
        <v>1749</v>
      </c>
      <c r="K41" s="78">
        <f t="shared" si="1"/>
        <v>40182</v>
      </c>
      <c r="L41" s="90">
        <v>1.124</v>
      </c>
      <c r="M41" s="79">
        <f>ROUND(25/(D41+E41+F41+G41+H41+'Началка-инклюзия'!D40+'Началка-инклюзия'!E40+'Началка-инклюзия'!F40)*4,3)</f>
        <v>1.316</v>
      </c>
      <c r="N41" s="78">
        <f t="shared" si="2"/>
        <v>57645</v>
      </c>
      <c r="O41" s="9">
        <f t="shared" si="3"/>
        <v>1345.1</v>
      </c>
      <c r="P41" s="9">
        <f t="shared" si="4"/>
        <v>0</v>
      </c>
      <c r="Q41" s="9">
        <f t="shared" si="5"/>
        <v>0</v>
      </c>
      <c r="R41" s="9">
        <f t="shared" si="6"/>
        <v>0</v>
      </c>
      <c r="S41" s="9">
        <f t="shared" si="7"/>
        <v>0</v>
      </c>
      <c r="T41" s="9">
        <f t="shared" si="0"/>
        <v>1345.1</v>
      </c>
      <c r="U41" s="80">
        <v>0.899</v>
      </c>
      <c r="V41" s="9">
        <f t="shared" si="8"/>
        <v>1209.2</v>
      </c>
      <c r="W41" s="9">
        <f t="shared" si="9"/>
        <v>0</v>
      </c>
      <c r="X41" s="9">
        <f t="shared" si="10"/>
        <v>0</v>
      </c>
      <c r="Y41" s="9">
        <f t="shared" si="11"/>
        <v>0</v>
      </c>
      <c r="Z41" s="9">
        <f t="shared" si="12"/>
        <v>0</v>
      </c>
      <c r="AA41" s="81">
        <f t="shared" si="13"/>
        <v>1209.2</v>
      </c>
      <c r="AB41" s="82"/>
      <c r="AC41" s="82"/>
      <c r="AD41" s="83"/>
      <c r="AE41" s="83"/>
    </row>
    <row r="42" spans="1:31" s="10" customFormat="1" ht="29.25" customHeight="1">
      <c r="A42" s="84">
        <v>34</v>
      </c>
      <c r="B42" s="91" t="s">
        <v>65</v>
      </c>
      <c r="C42" s="76">
        <v>5</v>
      </c>
      <c r="D42" s="11">
        <v>96</v>
      </c>
      <c r="E42" s="11">
        <v>1</v>
      </c>
      <c r="F42" s="11"/>
      <c r="G42" s="11"/>
      <c r="H42" s="11"/>
      <c r="I42" s="78">
        <v>38433</v>
      </c>
      <c r="J42" s="78">
        <v>1749</v>
      </c>
      <c r="K42" s="78">
        <f t="shared" si="1"/>
        <v>40182</v>
      </c>
      <c r="L42" s="90">
        <v>1.124</v>
      </c>
      <c r="M42" s="79">
        <f>ROUND(25/(D42+E42+F42+G42+H42+'Началка-инклюзия'!D41+'Началка-инклюзия'!E41+'Началка-инклюзия'!F41)*5,3)</f>
        <v>1.263</v>
      </c>
      <c r="N42" s="78">
        <f t="shared" si="2"/>
        <v>55516</v>
      </c>
      <c r="O42" s="9">
        <f t="shared" si="3"/>
        <v>1776.5</v>
      </c>
      <c r="P42" s="9">
        <f t="shared" si="4"/>
        <v>18.5</v>
      </c>
      <c r="Q42" s="9">
        <f t="shared" si="5"/>
        <v>0</v>
      </c>
      <c r="R42" s="9">
        <f t="shared" si="6"/>
        <v>0</v>
      </c>
      <c r="S42" s="9">
        <f t="shared" si="7"/>
        <v>0</v>
      </c>
      <c r="T42" s="9">
        <f t="shared" si="0"/>
        <v>1795</v>
      </c>
      <c r="U42" s="80">
        <v>0.938</v>
      </c>
      <c r="V42" s="9">
        <f t="shared" si="8"/>
        <v>1666.4</v>
      </c>
      <c r="W42" s="9">
        <f t="shared" si="9"/>
        <v>17.4</v>
      </c>
      <c r="X42" s="9">
        <f t="shared" si="10"/>
        <v>0</v>
      </c>
      <c r="Y42" s="9">
        <f t="shared" si="11"/>
        <v>0</v>
      </c>
      <c r="Z42" s="9">
        <f t="shared" si="12"/>
        <v>0</v>
      </c>
      <c r="AA42" s="81">
        <f t="shared" si="13"/>
        <v>1683.8000000000002</v>
      </c>
      <c r="AB42" s="82"/>
      <c r="AC42" s="82"/>
      <c r="AD42" s="83"/>
      <c r="AE42" s="83"/>
    </row>
    <row r="43" spans="1:31" s="10" customFormat="1" ht="29.25" customHeight="1">
      <c r="A43" s="74">
        <v>35</v>
      </c>
      <c r="B43" s="91" t="s">
        <v>66</v>
      </c>
      <c r="C43" s="76">
        <v>5</v>
      </c>
      <c r="D43" s="11">
        <v>16</v>
      </c>
      <c r="E43" s="11"/>
      <c r="F43" s="11"/>
      <c r="G43" s="11"/>
      <c r="H43" s="11"/>
      <c r="I43" s="78">
        <v>38433</v>
      </c>
      <c r="J43" s="78">
        <v>1749</v>
      </c>
      <c r="K43" s="78">
        <f t="shared" si="1"/>
        <v>40182</v>
      </c>
      <c r="L43" s="90">
        <v>1.124</v>
      </c>
      <c r="M43" s="79">
        <f>ROUND(25/(D43+E43+F43+G43+H43+'Началка-инклюзия'!D42+'Началка-инклюзия'!E42+'Началка-инклюзия'!F42)*2,3)</f>
        <v>2.778</v>
      </c>
      <c r="N43" s="78">
        <f t="shared" si="2"/>
        <v>116391</v>
      </c>
      <c r="O43" s="9">
        <f t="shared" si="3"/>
        <v>620.8</v>
      </c>
      <c r="P43" s="9">
        <f t="shared" si="4"/>
        <v>0</v>
      </c>
      <c r="Q43" s="9">
        <f t="shared" si="5"/>
        <v>0</v>
      </c>
      <c r="R43" s="9">
        <f t="shared" si="6"/>
        <v>0</v>
      </c>
      <c r="S43" s="9">
        <f t="shared" si="7"/>
        <v>0</v>
      </c>
      <c r="T43" s="9">
        <f t="shared" si="0"/>
        <v>620.8</v>
      </c>
      <c r="U43" s="80">
        <v>1.01</v>
      </c>
      <c r="V43" s="9">
        <f t="shared" si="8"/>
        <v>627</v>
      </c>
      <c r="W43" s="9">
        <f t="shared" si="9"/>
        <v>0</v>
      </c>
      <c r="X43" s="9">
        <f t="shared" si="10"/>
        <v>0</v>
      </c>
      <c r="Y43" s="9">
        <f t="shared" si="11"/>
        <v>0</v>
      </c>
      <c r="Z43" s="9">
        <f t="shared" si="12"/>
        <v>0</v>
      </c>
      <c r="AA43" s="81">
        <f t="shared" si="13"/>
        <v>627</v>
      </c>
      <c r="AB43" s="82"/>
      <c r="AC43" s="82"/>
      <c r="AD43" s="83"/>
      <c r="AE43" s="83"/>
    </row>
    <row r="44" spans="1:31" s="10" customFormat="1" ht="31.5">
      <c r="A44" s="84">
        <v>36</v>
      </c>
      <c r="B44" s="91" t="s">
        <v>67</v>
      </c>
      <c r="C44" s="76">
        <v>5</v>
      </c>
      <c r="D44" s="92">
        <v>15</v>
      </c>
      <c r="E44" s="11"/>
      <c r="F44" s="11"/>
      <c r="G44" s="11"/>
      <c r="H44" s="11"/>
      <c r="I44" s="78">
        <v>38433</v>
      </c>
      <c r="J44" s="78">
        <v>1749</v>
      </c>
      <c r="K44" s="78">
        <f t="shared" si="1"/>
        <v>40182</v>
      </c>
      <c r="L44" s="90">
        <v>1.124</v>
      </c>
      <c r="M44" s="79">
        <f>ROUND(25/(D44+E44+F44+G44+H44+'Началка-инклюзия'!D43+'Началка-инклюзия'!E43+'Началка-инклюзия'!F43)*2,3)</f>
        <v>3.333</v>
      </c>
      <c r="N44" s="78">
        <f t="shared" si="2"/>
        <v>138692</v>
      </c>
      <c r="O44" s="9">
        <f t="shared" si="3"/>
        <v>693.5</v>
      </c>
      <c r="P44" s="9">
        <f t="shared" si="4"/>
        <v>0</v>
      </c>
      <c r="Q44" s="9">
        <f t="shared" si="5"/>
        <v>0</v>
      </c>
      <c r="R44" s="9">
        <f t="shared" si="6"/>
        <v>0</v>
      </c>
      <c r="S44" s="9">
        <f t="shared" si="7"/>
        <v>0</v>
      </c>
      <c r="T44" s="9">
        <f t="shared" si="0"/>
        <v>693.5</v>
      </c>
      <c r="U44" s="80">
        <v>0.925</v>
      </c>
      <c r="V44" s="9">
        <f>ROUND(O44*U44,1)+0.7</f>
        <v>642.2</v>
      </c>
      <c r="W44" s="9">
        <f t="shared" si="9"/>
        <v>0</v>
      </c>
      <c r="X44" s="9">
        <f t="shared" si="10"/>
        <v>0</v>
      </c>
      <c r="Y44" s="9">
        <f t="shared" si="11"/>
        <v>0</v>
      </c>
      <c r="Z44" s="9">
        <f t="shared" si="12"/>
        <v>0</v>
      </c>
      <c r="AA44" s="81">
        <f t="shared" si="13"/>
        <v>642.2</v>
      </c>
      <c r="AB44" s="82"/>
      <c r="AC44" s="82"/>
      <c r="AD44" s="83"/>
      <c r="AE44" s="83"/>
    </row>
    <row r="45" spans="1:31" s="10" customFormat="1" ht="16.5" thickBot="1">
      <c r="A45" s="74">
        <v>37</v>
      </c>
      <c r="B45" s="93" t="s">
        <v>68</v>
      </c>
      <c r="C45" s="76">
        <v>5</v>
      </c>
      <c r="D45" s="94">
        <v>19</v>
      </c>
      <c r="E45" s="11"/>
      <c r="F45" s="11"/>
      <c r="G45" s="11"/>
      <c r="H45" s="11"/>
      <c r="I45" s="78">
        <v>38433</v>
      </c>
      <c r="J45" s="78">
        <v>1749</v>
      </c>
      <c r="K45" s="78">
        <f t="shared" si="1"/>
        <v>40182</v>
      </c>
      <c r="L45" s="90">
        <v>1.124</v>
      </c>
      <c r="M45" s="79">
        <f>ROUND(25/(D45+E45+F45+G45+H45+'Началка-инклюзия'!D44+'Началка-инклюзия'!E44+'Началка-инклюзия'!F44)*2,3)</f>
        <v>2.5</v>
      </c>
      <c r="N45" s="78">
        <f t="shared" si="2"/>
        <v>105221</v>
      </c>
      <c r="O45" s="9">
        <f t="shared" si="3"/>
        <v>666.4</v>
      </c>
      <c r="P45" s="9">
        <f t="shared" si="4"/>
        <v>0</v>
      </c>
      <c r="Q45" s="9">
        <f t="shared" si="5"/>
        <v>0</v>
      </c>
      <c r="R45" s="9">
        <f t="shared" si="6"/>
        <v>0</v>
      </c>
      <c r="S45" s="9">
        <f t="shared" si="7"/>
        <v>0</v>
      </c>
      <c r="T45" s="9">
        <f t="shared" si="0"/>
        <v>666.4</v>
      </c>
      <c r="U45" s="80">
        <v>0.753</v>
      </c>
      <c r="V45" s="9">
        <f>ROUND(O45*U45,1)</f>
        <v>501.8</v>
      </c>
      <c r="W45" s="9">
        <f t="shared" si="9"/>
        <v>0</v>
      </c>
      <c r="X45" s="9">
        <f t="shared" si="10"/>
        <v>0</v>
      </c>
      <c r="Y45" s="9">
        <f t="shared" si="11"/>
        <v>0</v>
      </c>
      <c r="Z45" s="9">
        <f t="shared" si="12"/>
        <v>0</v>
      </c>
      <c r="AA45" s="81">
        <f t="shared" si="13"/>
        <v>501.8</v>
      </c>
      <c r="AB45" s="82"/>
      <c r="AC45" s="82"/>
      <c r="AD45" s="83"/>
      <c r="AE45" s="83"/>
    </row>
    <row r="46" spans="1:31" s="10" customFormat="1" ht="16.5" thickBot="1">
      <c r="A46" s="95"/>
      <c r="B46" s="96" t="s">
        <v>69</v>
      </c>
      <c r="C46" s="97"/>
      <c r="D46" s="98">
        <f>SUM(D9:D45)</f>
        <v>3601</v>
      </c>
      <c r="E46" s="98">
        <f>SUM(E9:E45)</f>
        <v>10</v>
      </c>
      <c r="F46" s="98">
        <f>SUM(F9:F45)</f>
        <v>0</v>
      </c>
      <c r="G46" s="98">
        <f>SUM(G9:G45)</f>
        <v>1</v>
      </c>
      <c r="H46" s="98">
        <f>SUM(H9:H45)</f>
        <v>1</v>
      </c>
      <c r="I46" s="12"/>
      <c r="J46" s="12"/>
      <c r="K46" s="12"/>
      <c r="L46" s="12"/>
      <c r="M46" s="12"/>
      <c r="N46" s="12"/>
      <c r="O46" s="9">
        <f aca="true" t="shared" si="14" ref="O46:T46">SUM(O9:O45)</f>
        <v>68603.99999999999</v>
      </c>
      <c r="P46" s="9">
        <f t="shared" si="14"/>
        <v>192.7</v>
      </c>
      <c r="Q46" s="9">
        <f t="shared" si="14"/>
        <v>0</v>
      </c>
      <c r="R46" s="9">
        <f t="shared" si="14"/>
        <v>17.3</v>
      </c>
      <c r="S46" s="9">
        <f t="shared" si="14"/>
        <v>32</v>
      </c>
      <c r="T46" s="9">
        <f t="shared" si="14"/>
        <v>68845.99999999999</v>
      </c>
      <c r="U46" s="40"/>
      <c r="V46" s="9">
        <f aca="true" t="shared" si="15" ref="V46:AA46">SUM(V9:V45)</f>
        <v>63370.39999999999</v>
      </c>
      <c r="W46" s="9">
        <f t="shared" si="15"/>
        <v>176</v>
      </c>
      <c r="X46" s="9">
        <f t="shared" si="15"/>
        <v>0</v>
      </c>
      <c r="Y46" s="9">
        <f t="shared" si="15"/>
        <v>16.4</v>
      </c>
      <c r="Z46" s="9">
        <f t="shared" si="15"/>
        <v>28.5</v>
      </c>
      <c r="AA46" s="9">
        <f t="shared" si="15"/>
        <v>63591.299999999996</v>
      </c>
      <c r="AB46" s="83"/>
      <c r="AC46" s="83"/>
      <c r="AD46" s="83"/>
      <c r="AE46" s="83"/>
    </row>
    <row r="47" spans="1:31" s="3" customFormat="1" ht="18" customHeight="1">
      <c r="A47" s="13"/>
      <c r="B47" s="14"/>
      <c r="C47" s="14"/>
      <c r="D47" s="15"/>
      <c r="E47" s="14"/>
      <c r="F47" s="14"/>
      <c r="G47" s="14"/>
      <c r="H47" s="14"/>
      <c r="I47" s="16"/>
      <c r="J47" s="16"/>
      <c r="K47" s="16"/>
      <c r="L47" s="17"/>
      <c r="M47" s="17"/>
      <c r="N47" s="17"/>
      <c r="T47" s="18"/>
      <c r="U47" s="4"/>
      <c r="V47" s="4"/>
      <c r="AB47" s="4"/>
      <c r="AC47" s="4"/>
      <c r="AD47" s="4"/>
      <c r="AE47" s="4"/>
    </row>
    <row r="48" spans="1:31" s="3" customFormat="1" ht="15.75">
      <c r="A48" s="19"/>
      <c r="B48" s="20"/>
      <c r="C48" s="2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U48" s="4"/>
      <c r="V48" s="4"/>
      <c r="AB48" s="4"/>
      <c r="AC48" s="4"/>
      <c r="AD48" s="4"/>
      <c r="AE48" s="4"/>
    </row>
    <row r="49" spans="1:31" s="3" customFormat="1" ht="15.75">
      <c r="A49" s="19"/>
      <c r="B49" s="20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U49" s="4"/>
      <c r="V49" s="4"/>
      <c r="AB49" s="4"/>
      <c r="AC49" s="4"/>
      <c r="AD49" s="4"/>
      <c r="AE49" s="4"/>
    </row>
    <row r="50" spans="1:31" s="3" customFormat="1" ht="15.75">
      <c r="A50" s="19"/>
      <c r="B50" s="20"/>
      <c r="C50" s="2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U50" s="4"/>
      <c r="V50" s="4"/>
      <c r="AB50" s="4"/>
      <c r="AC50" s="4"/>
      <c r="AD50" s="4"/>
      <c r="AE50" s="4"/>
    </row>
    <row r="51" spans="1:31" s="3" customFormat="1" ht="15.75">
      <c r="A51" s="19"/>
      <c r="B51" s="20"/>
      <c r="C51" s="2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U51" s="4"/>
      <c r="V51" s="4"/>
      <c r="AB51" s="4"/>
      <c r="AC51" s="4"/>
      <c r="AD51" s="4"/>
      <c r="AE51" s="4"/>
    </row>
    <row r="52" spans="1:31" s="3" customFormat="1" ht="15.75">
      <c r="A52" s="19"/>
      <c r="B52" s="22"/>
      <c r="C52" s="2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U52" s="4"/>
      <c r="V52" s="4"/>
      <c r="AB52" s="4"/>
      <c r="AC52" s="4"/>
      <c r="AD52" s="4"/>
      <c r="AE52" s="4"/>
    </row>
    <row r="53" spans="1:31" s="3" customFormat="1" ht="15.75">
      <c r="A53" s="19"/>
      <c r="B53" s="22"/>
      <c r="C53" s="22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U53" s="4"/>
      <c r="V53" s="4"/>
      <c r="AB53" s="4"/>
      <c r="AC53" s="4"/>
      <c r="AD53" s="4"/>
      <c r="AE53" s="4"/>
    </row>
    <row r="54" spans="1:31" s="3" customFormat="1" ht="16.5" customHeight="1">
      <c r="A54" s="19"/>
      <c r="B54" s="20"/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U54" s="4"/>
      <c r="V54" s="4"/>
      <c r="AB54" s="4"/>
      <c r="AC54" s="4"/>
      <c r="AD54" s="4"/>
      <c r="AE54" s="4"/>
    </row>
    <row r="55" spans="1:31" s="3" customFormat="1" ht="15.75">
      <c r="A55" s="19"/>
      <c r="B55" s="20"/>
      <c r="C55" s="20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U55" s="4"/>
      <c r="V55" s="4"/>
      <c r="AB55" s="4"/>
      <c r="AC55" s="4"/>
      <c r="AD55" s="4"/>
      <c r="AE55" s="4"/>
    </row>
    <row r="56" spans="1:31" s="3" customFormat="1" ht="15.75">
      <c r="A56" s="19"/>
      <c r="B56" s="20"/>
      <c r="C56" s="20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U56" s="4"/>
      <c r="V56" s="4"/>
      <c r="AB56" s="4"/>
      <c r="AC56" s="4"/>
      <c r="AD56" s="4"/>
      <c r="AE56" s="4"/>
    </row>
    <row r="57" spans="1:31" s="3" customFormat="1" ht="15.75">
      <c r="A57" s="19"/>
      <c r="B57" s="20"/>
      <c r="C57" s="2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U57" s="4"/>
      <c r="V57" s="4"/>
      <c r="AB57" s="4"/>
      <c r="AC57" s="4"/>
      <c r="AD57" s="4"/>
      <c r="AE57" s="4"/>
    </row>
    <row r="58" spans="1:31" s="3" customFormat="1" ht="15.75">
      <c r="A58" s="19"/>
      <c r="B58" s="20"/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U58" s="4"/>
      <c r="V58" s="4"/>
      <c r="AB58" s="4"/>
      <c r="AC58" s="4"/>
      <c r="AD58" s="4"/>
      <c r="AE58" s="4"/>
    </row>
    <row r="59" spans="1:31" s="3" customFormat="1" ht="15.75">
      <c r="A59" s="19"/>
      <c r="B59" s="20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U59" s="4"/>
      <c r="V59" s="4"/>
      <c r="AB59" s="4"/>
      <c r="AC59" s="4"/>
      <c r="AD59" s="4"/>
      <c r="AE59" s="4"/>
    </row>
    <row r="60" spans="1:31" s="3" customFormat="1" ht="15.75">
      <c r="A60" s="19"/>
      <c r="B60" s="23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U60" s="4"/>
      <c r="V60" s="4"/>
      <c r="AB60" s="4"/>
      <c r="AC60" s="4"/>
      <c r="AD60" s="4"/>
      <c r="AE60" s="4"/>
    </row>
    <row r="61" spans="1:31" s="26" customFormat="1" ht="16.5" customHeight="1">
      <c r="A61" s="119"/>
      <c r="B61" s="119"/>
      <c r="C61" s="119"/>
      <c r="D61" s="119"/>
      <c r="E61" s="119"/>
      <c r="F61" s="119"/>
      <c r="G61" s="119"/>
      <c r="H61" s="119"/>
      <c r="I61" s="25"/>
      <c r="J61" s="25"/>
      <c r="K61" s="25"/>
      <c r="L61" s="25"/>
      <c r="M61" s="25"/>
      <c r="N61" s="25"/>
      <c r="U61" s="27"/>
      <c r="V61" s="27"/>
      <c r="AB61" s="27"/>
      <c r="AC61" s="27"/>
      <c r="AD61" s="27"/>
      <c r="AE61" s="27"/>
    </row>
    <row r="62" spans="1:14" ht="15.75">
      <c r="A62" s="19"/>
      <c r="B62" s="22"/>
      <c r="C62" s="22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15.75">
      <c r="A63" s="19"/>
      <c r="B63" s="22"/>
      <c r="C63" s="22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15.75">
      <c r="A64" s="19"/>
      <c r="B64" s="22"/>
      <c r="C64" s="2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15.75">
      <c r="A65" s="19"/>
      <c r="B65" s="22"/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18" customHeight="1">
      <c r="A66" s="19"/>
      <c r="B66" s="22"/>
      <c r="C66" s="2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5.75">
      <c r="A67" s="19"/>
      <c r="B67" s="22"/>
      <c r="C67" s="22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15.75">
      <c r="A68" s="19"/>
      <c r="B68" s="22"/>
      <c r="C68" s="22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15.75">
      <c r="A69" s="19"/>
      <c r="B69" s="22"/>
      <c r="C69" s="22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15.75">
      <c r="A70" s="19"/>
      <c r="B70" s="22"/>
      <c r="C70" s="22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15.75">
      <c r="A71" s="19"/>
      <c r="B71" s="22"/>
      <c r="C71" s="22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15.75">
      <c r="A72" s="19"/>
      <c r="B72" s="20"/>
      <c r="C72" s="2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15.75">
      <c r="A73" s="19"/>
      <c r="B73" s="20"/>
      <c r="C73" s="20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15.75">
      <c r="A74" s="19"/>
      <c r="B74" s="20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15.75">
      <c r="A75" s="19"/>
      <c r="B75" s="20"/>
      <c r="C75" s="20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15.75">
      <c r="A76" s="19"/>
      <c r="B76" s="20"/>
      <c r="C76" s="20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15.75">
      <c r="A77" s="19"/>
      <c r="B77" s="20"/>
      <c r="C77" s="20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15.75">
      <c r="A78" s="19"/>
      <c r="B78" s="20"/>
      <c r="C78" s="20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15.75">
      <c r="A79" s="19"/>
      <c r="B79" s="20"/>
      <c r="C79" s="20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15.75">
      <c r="A80" s="19"/>
      <c r="B80" s="20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15.75">
      <c r="A81" s="19"/>
      <c r="B81" s="20"/>
      <c r="C81" s="2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15.75">
      <c r="A82" s="19"/>
      <c r="B82" s="20"/>
      <c r="C82" s="20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15.75">
      <c r="A83" s="19"/>
      <c r="B83" s="20"/>
      <c r="C83" s="20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15.75">
      <c r="A84" s="19"/>
      <c r="B84" s="20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4" ht="15.75">
      <c r="A85" s="19"/>
      <c r="B85" s="20"/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 ht="15.75">
      <c r="A86" s="19"/>
      <c r="B86" s="20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ht="15.75">
      <c r="A87" s="19"/>
      <c r="B87" s="20"/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ht="15.75">
      <c r="A88" s="19"/>
      <c r="B88" s="20"/>
      <c r="C88" s="20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ht="15.75">
      <c r="A89" s="19"/>
      <c r="B89" s="20"/>
      <c r="C89" s="20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1:14" ht="15.75">
      <c r="A90" s="19"/>
      <c r="B90" s="20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1:14" ht="15.75">
      <c r="A91" s="19"/>
      <c r="B91" s="20"/>
      <c r="C91" s="20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1:14" ht="15.75">
      <c r="A92" s="19"/>
      <c r="B92" s="20"/>
      <c r="C92" s="20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1:14" ht="15.75">
      <c r="A93" s="19"/>
      <c r="B93" s="20"/>
      <c r="C93" s="20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1:14" ht="15.75">
      <c r="A94" s="19"/>
      <c r="B94" s="20"/>
      <c r="C94" s="20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ht="15.75">
      <c r="A95" s="19"/>
      <c r="B95" s="20"/>
      <c r="C95" s="20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1:14" ht="15.75">
      <c r="A96" s="19"/>
      <c r="B96" s="20"/>
      <c r="C96" s="20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1:14" ht="15.75">
      <c r="A97" s="19"/>
      <c r="B97" s="20"/>
      <c r="C97" s="20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ht="15.75">
      <c r="A98" s="19"/>
      <c r="B98" s="20"/>
      <c r="C98" s="20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15.75">
      <c r="A99" s="19"/>
      <c r="B99" s="20"/>
      <c r="C99" s="20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15.75">
      <c r="A100" s="19"/>
      <c r="B100" s="20"/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5.75">
      <c r="A101" s="19"/>
      <c r="B101" s="20"/>
      <c r="C101" s="20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15.75">
      <c r="A102" s="19"/>
      <c r="B102" s="20"/>
      <c r="C102" s="20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5.75">
      <c r="A103" s="19"/>
      <c r="B103" s="20"/>
      <c r="C103" s="20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15.75">
      <c r="A104" s="19"/>
      <c r="B104" s="20"/>
      <c r="C104" s="20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15.75">
      <c r="A105" s="19"/>
      <c r="B105" s="20"/>
      <c r="C105" s="20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ht="15.75">
      <c r="A106" s="30"/>
      <c r="B106" s="31"/>
      <c r="C106" s="31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ht="18.75">
      <c r="A107" s="32"/>
      <c r="B107" s="32"/>
      <c r="C107" s="3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1:14" ht="15.75">
      <c r="A108" s="30"/>
      <c r="B108" s="30"/>
      <c r="C108" s="30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</sheetData>
  <sheetProtection/>
  <mergeCells count="23">
    <mergeCell ref="C2:N2"/>
    <mergeCell ref="C3:N3"/>
    <mergeCell ref="O4:T5"/>
    <mergeCell ref="N4:N8"/>
    <mergeCell ref="C4:C8"/>
    <mergeCell ref="K6:K7"/>
    <mergeCell ref="T6:T7"/>
    <mergeCell ref="A61:H61"/>
    <mergeCell ref="O6:S6"/>
    <mergeCell ref="D6:H6"/>
    <mergeCell ref="I6:J6"/>
    <mergeCell ref="I4:K5"/>
    <mergeCell ref="D5:H5"/>
    <mergeCell ref="M4:M8"/>
    <mergeCell ref="L4:L8"/>
    <mergeCell ref="U4:U8"/>
    <mergeCell ref="A4:A8"/>
    <mergeCell ref="D4:H4"/>
    <mergeCell ref="V4:AA5"/>
    <mergeCell ref="V6:Z6"/>
    <mergeCell ref="AA6:AA7"/>
    <mergeCell ref="B7:B8"/>
    <mergeCell ref="B4:B5"/>
  </mergeCells>
  <printOptions horizontalCentered="1"/>
  <pageMargins left="0" right="0" top="0.3937007874015748" bottom="0" header="0" footer="0"/>
  <pageSetup horizontalDpi="600" verticalDpi="600" orientation="landscape" paperSize="9" scale="33" r:id="rId1"/>
  <colBreaks count="1" manualBreakCount="1">
    <brk id="14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7"/>
  <sheetViews>
    <sheetView view="pageBreakPreview" zoomScale="71" zoomScaleNormal="74" zoomScaleSheetLayoutView="71" zoomScalePageLayoutView="0" workbookViewId="0" topLeftCell="A1">
      <pane xSplit="2" ySplit="7" topLeftCell="P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44" sqref="R44"/>
    </sheetView>
  </sheetViews>
  <sheetFormatPr defaultColWidth="9.140625" defaultRowHeight="12.75"/>
  <cols>
    <col min="1" max="1" width="9.00390625" style="34" customWidth="1"/>
    <col min="2" max="2" width="25.00390625" style="34" customWidth="1"/>
    <col min="3" max="3" width="14.8515625" style="34" customWidth="1"/>
    <col min="4" max="4" width="14.7109375" style="35" customWidth="1"/>
    <col min="5" max="5" width="15.421875" style="35" bestFit="1" customWidth="1"/>
    <col min="6" max="6" width="20.421875" style="35" customWidth="1"/>
    <col min="7" max="7" width="32.7109375" style="35" customWidth="1"/>
    <col min="8" max="8" width="37.140625" style="35" customWidth="1"/>
    <col min="9" max="9" width="17.57421875" style="35" customWidth="1"/>
    <col min="10" max="10" width="29.57421875" style="35" customWidth="1"/>
    <col min="11" max="11" width="29.421875" style="35" customWidth="1"/>
    <col min="12" max="12" width="23.57421875" style="35" customWidth="1"/>
    <col min="13" max="13" width="17.28125" style="28" customWidth="1"/>
    <col min="14" max="14" width="15.00390625" style="28" customWidth="1"/>
    <col min="15" max="15" width="26.00390625" style="28" customWidth="1"/>
    <col min="16" max="16" width="20.421875" style="28" customWidth="1"/>
    <col min="17" max="17" width="31.421875" style="29" customWidth="1"/>
    <col min="18" max="18" width="25.8515625" style="29" customWidth="1"/>
    <col min="19" max="19" width="21.28125" style="28" customWidth="1"/>
    <col min="20" max="20" width="21.140625" style="28" customWidth="1"/>
    <col min="21" max="21" width="19.140625" style="28" customWidth="1"/>
    <col min="22" max="16384" width="9.140625" style="28" customWidth="1"/>
  </cols>
  <sheetData>
    <row r="1" spans="1:20" s="3" customFormat="1" ht="31.5" customHeight="1">
      <c r="A1" s="1"/>
      <c r="B1" s="1"/>
      <c r="C1" s="133" t="s">
        <v>77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99"/>
      <c r="R1" s="99"/>
      <c r="S1" s="99"/>
      <c r="T1" s="99"/>
    </row>
    <row r="2" spans="1:18" s="3" customFormat="1" ht="15.75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Q2" s="4"/>
      <c r="R2" s="4"/>
    </row>
    <row r="3" spans="1:23" s="3" customFormat="1" ht="51.75" customHeight="1">
      <c r="A3" s="106" t="s">
        <v>7</v>
      </c>
      <c r="B3" s="103" t="s">
        <v>31</v>
      </c>
      <c r="C3" s="103" t="s">
        <v>8</v>
      </c>
      <c r="D3" s="109" t="s">
        <v>10</v>
      </c>
      <c r="E3" s="109"/>
      <c r="F3" s="109"/>
      <c r="G3" s="122" t="s">
        <v>18</v>
      </c>
      <c r="H3" s="123"/>
      <c r="I3" s="124"/>
      <c r="J3" s="130" t="s">
        <v>21</v>
      </c>
      <c r="K3" s="130" t="s">
        <v>30</v>
      </c>
      <c r="L3" s="130" t="s">
        <v>20</v>
      </c>
      <c r="M3" s="110" t="s">
        <v>81</v>
      </c>
      <c r="N3" s="111"/>
      <c r="O3" s="111"/>
      <c r="P3" s="112"/>
      <c r="Q3" s="103" t="s">
        <v>71</v>
      </c>
      <c r="R3" s="137" t="s">
        <v>82</v>
      </c>
      <c r="S3" s="137"/>
      <c r="T3" s="137"/>
      <c r="U3" s="137"/>
      <c r="V3" s="100"/>
      <c r="W3" s="100"/>
    </row>
    <row r="4" spans="1:23" s="3" customFormat="1" ht="60.75" customHeight="1">
      <c r="A4" s="107"/>
      <c r="B4" s="104"/>
      <c r="C4" s="104"/>
      <c r="D4" s="128" t="s">
        <v>75</v>
      </c>
      <c r="E4" s="129"/>
      <c r="F4" s="129"/>
      <c r="G4" s="125"/>
      <c r="H4" s="126"/>
      <c r="I4" s="127"/>
      <c r="J4" s="131"/>
      <c r="K4" s="131"/>
      <c r="L4" s="131"/>
      <c r="M4" s="113"/>
      <c r="N4" s="114"/>
      <c r="O4" s="114"/>
      <c r="P4" s="115"/>
      <c r="Q4" s="104"/>
      <c r="R4" s="137"/>
      <c r="S4" s="137"/>
      <c r="T4" s="137"/>
      <c r="U4" s="137"/>
      <c r="V4" s="100"/>
      <c r="W4" s="100"/>
    </row>
    <row r="5" spans="1:21" s="3" customFormat="1" ht="36.75" customHeight="1">
      <c r="A5" s="107"/>
      <c r="B5" s="70"/>
      <c r="C5" s="104"/>
      <c r="D5" s="116" t="s">
        <v>22</v>
      </c>
      <c r="E5" s="117"/>
      <c r="F5" s="117"/>
      <c r="G5" s="120" t="s">
        <v>17</v>
      </c>
      <c r="H5" s="121"/>
      <c r="I5" s="135" t="s">
        <v>6</v>
      </c>
      <c r="J5" s="131"/>
      <c r="K5" s="131"/>
      <c r="L5" s="131"/>
      <c r="M5" s="116" t="s">
        <v>11</v>
      </c>
      <c r="N5" s="117"/>
      <c r="O5" s="117"/>
      <c r="P5" s="118" t="s">
        <v>6</v>
      </c>
      <c r="Q5" s="104"/>
      <c r="R5" s="116" t="s">
        <v>11</v>
      </c>
      <c r="S5" s="117"/>
      <c r="T5" s="117"/>
      <c r="U5" s="118" t="s">
        <v>6</v>
      </c>
    </row>
    <row r="6" spans="1:21" s="3" customFormat="1" ht="254.25" customHeight="1">
      <c r="A6" s="107"/>
      <c r="B6" s="118" t="s">
        <v>9</v>
      </c>
      <c r="C6" s="104"/>
      <c r="D6" s="8" t="s">
        <v>3</v>
      </c>
      <c r="E6" s="8" t="s">
        <v>72</v>
      </c>
      <c r="F6" s="8" t="s">
        <v>15</v>
      </c>
      <c r="G6" s="71" t="s">
        <v>19</v>
      </c>
      <c r="H6" s="71" t="s">
        <v>80</v>
      </c>
      <c r="I6" s="136"/>
      <c r="J6" s="131"/>
      <c r="K6" s="131"/>
      <c r="L6" s="131"/>
      <c r="M6" s="8" t="s">
        <v>3</v>
      </c>
      <c r="N6" s="8" t="s">
        <v>12</v>
      </c>
      <c r="O6" s="8" t="s">
        <v>15</v>
      </c>
      <c r="P6" s="118"/>
      <c r="Q6" s="104"/>
      <c r="R6" s="8" t="s">
        <v>3</v>
      </c>
      <c r="S6" s="8" t="s">
        <v>12</v>
      </c>
      <c r="T6" s="8" t="s">
        <v>15</v>
      </c>
      <c r="U6" s="118"/>
    </row>
    <row r="7" spans="1:21" s="3" customFormat="1" ht="44.25" customHeight="1">
      <c r="A7" s="108"/>
      <c r="B7" s="118"/>
      <c r="C7" s="105"/>
      <c r="D7" s="8" t="s">
        <v>5</v>
      </c>
      <c r="E7" s="8" t="s">
        <v>5</v>
      </c>
      <c r="F7" s="8" t="s">
        <v>5</v>
      </c>
      <c r="G7" s="7" t="s">
        <v>13</v>
      </c>
      <c r="H7" s="7" t="s">
        <v>13</v>
      </c>
      <c r="I7" s="7" t="s">
        <v>13</v>
      </c>
      <c r="J7" s="132"/>
      <c r="K7" s="132"/>
      <c r="L7" s="132"/>
      <c r="M7" s="8" t="s">
        <v>14</v>
      </c>
      <c r="N7" s="8" t="s">
        <v>14</v>
      </c>
      <c r="O7" s="8" t="s">
        <v>14</v>
      </c>
      <c r="P7" s="8" t="s">
        <v>14</v>
      </c>
      <c r="Q7" s="105"/>
      <c r="R7" s="8" t="s">
        <v>14</v>
      </c>
      <c r="S7" s="8" t="s">
        <v>14</v>
      </c>
      <c r="T7" s="8" t="s">
        <v>14</v>
      </c>
      <c r="U7" s="8" t="s">
        <v>14</v>
      </c>
    </row>
    <row r="8" spans="1:21" s="10" customFormat="1" ht="18" customHeight="1">
      <c r="A8" s="74">
        <v>1</v>
      </c>
      <c r="B8" s="75" t="s">
        <v>32</v>
      </c>
      <c r="C8" s="76">
        <v>5</v>
      </c>
      <c r="D8" s="77">
        <v>14</v>
      </c>
      <c r="E8" s="77"/>
      <c r="F8" s="77"/>
      <c r="G8" s="78">
        <v>38433</v>
      </c>
      <c r="H8" s="78">
        <v>1749</v>
      </c>
      <c r="I8" s="78">
        <f>SUM(G8:H8)</f>
        <v>40182</v>
      </c>
      <c r="J8" s="79">
        <v>1</v>
      </c>
      <c r="K8" s="79">
        <v>1.064</v>
      </c>
      <c r="L8" s="78">
        <f aca="true" t="shared" si="0" ref="L8:L44">ROUND(G8*(J8-1)+I8+G8*(K8-1),0)</f>
        <v>42642</v>
      </c>
      <c r="M8" s="9">
        <f>ROUND(D8*L8/1000/12*4,1)</f>
        <v>199</v>
      </c>
      <c r="N8" s="9">
        <f>ROUND(E8*L8/1000/12*4,1)</f>
        <v>0</v>
      </c>
      <c r="O8" s="9">
        <f>ROUND(F8*L8/1000/12*4,1)</f>
        <v>0</v>
      </c>
      <c r="P8" s="9">
        <f aca="true" t="shared" si="1" ref="P8:P44">SUM(M8:O8)</f>
        <v>199</v>
      </c>
      <c r="Q8" s="80">
        <v>0.866</v>
      </c>
      <c r="R8" s="9">
        <f>ROUND(M8*Q8,1)+4.7</f>
        <v>177</v>
      </c>
      <c r="S8" s="9">
        <f>ROUND(N8*Q8,1)</f>
        <v>0</v>
      </c>
      <c r="T8" s="9">
        <f>ROUND(O8*Q8,1)</f>
        <v>0</v>
      </c>
      <c r="U8" s="9">
        <f>SUM(R8:T8)</f>
        <v>177</v>
      </c>
    </row>
    <row r="9" spans="1:21" s="10" customFormat="1" ht="15.75">
      <c r="A9" s="84">
        <v>2</v>
      </c>
      <c r="B9" s="75" t="s">
        <v>33</v>
      </c>
      <c r="C9" s="76">
        <v>5</v>
      </c>
      <c r="D9" s="11">
        <v>1</v>
      </c>
      <c r="E9" s="11"/>
      <c r="F9" s="11"/>
      <c r="G9" s="78">
        <v>38433</v>
      </c>
      <c r="H9" s="78">
        <v>1749</v>
      </c>
      <c r="I9" s="78">
        <f aca="true" t="shared" si="2" ref="I9:I44">SUM(G9:H9)</f>
        <v>40182</v>
      </c>
      <c r="J9" s="79">
        <v>1</v>
      </c>
      <c r="K9" s="79">
        <v>1.064</v>
      </c>
      <c r="L9" s="78">
        <f t="shared" si="0"/>
        <v>42642</v>
      </c>
      <c r="M9" s="9">
        <f aca="true" t="shared" si="3" ref="M9:M44">ROUND(D9*L9/1000/12*4,1)</f>
        <v>14.2</v>
      </c>
      <c r="N9" s="9">
        <f aca="true" t="shared" si="4" ref="N9:N44">ROUND(E9*L9/1000/12*4,1)</f>
        <v>0</v>
      </c>
      <c r="O9" s="9">
        <f aca="true" t="shared" si="5" ref="O9:O44">ROUND(F9*L9/1000/12*4,1)</f>
        <v>0</v>
      </c>
      <c r="P9" s="9">
        <f t="shared" si="1"/>
        <v>14.2</v>
      </c>
      <c r="Q9" s="80">
        <v>0.906</v>
      </c>
      <c r="R9" s="9">
        <f>ROUND(M9*Q9,1)+3</f>
        <v>15.9</v>
      </c>
      <c r="S9" s="9">
        <f aca="true" t="shared" si="6" ref="S9:S44">ROUND(N9*Q9,1)</f>
        <v>0</v>
      </c>
      <c r="T9" s="9">
        <f aca="true" t="shared" si="7" ref="T9:T44">ROUND(O9*Q9,1)</f>
        <v>0</v>
      </c>
      <c r="U9" s="9">
        <f aca="true" t="shared" si="8" ref="U9:U44">SUM(R9:T9)</f>
        <v>15.9</v>
      </c>
    </row>
    <row r="10" spans="1:21" s="10" customFormat="1" ht="15.75">
      <c r="A10" s="74">
        <v>3</v>
      </c>
      <c r="B10" s="75" t="s">
        <v>34</v>
      </c>
      <c r="C10" s="76">
        <v>5</v>
      </c>
      <c r="D10" s="11">
        <v>4</v>
      </c>
      <c r="E10" s="11"/>
      <c r="F10" s="11"/>
      <c r="G10" s="78">
        <v>38433</v>
      </c>
      <c r="H10" s="78">
        <v>1749</v>
      </c>
      <c r="I10" s="78">
        <f t="shared" si="2"/>
        <v>40182</v>
      </c>
      <c r="J10" s="79">
        <v>1</v>
      </c>
      <c r="K10" s="79">
        <v>1.064</v>
      </c>
      <c r="L10" s="78">
        <f t="shared" si="0"/>
        <v>42642</v>
      </c>
      <c r="M10" s="9">
        <f t="shared" si="3"/>
        <v>56.9</v>
      </c>
      <c r="N10" s="9">
        <f t="shared" si="4"/>
        <v>0</v>
      </c>
      <c r="O10" s="9">
        <f t="shared" si="5"/>
        <v>0</v>
      </c>
      <c r="P10" s="9">
        <f t="shared" si="1"/>
        <v>56.9</v>
      </c>
      <c r="Q10" s="80">
        <v>0.922</v>
      </c>
      <c r="R10" s="9">
        <f>ROUND(M10*Q10,1)+3.5</f>
        <v>56</v>
      </c>
      <c r="S10" s="9">
        <f t="shared" si="6"/>
        <v>0</v>
      </c>
      <c r="T10" s="9">
        <f t="shared" si="7"/>
        <v>0</v>
      </c>
      <c r="U10" s="9">
        <f t="shared" si="8"/>
        <v>56</v>
      </c>
    </row>
    <row r="11" spans="1:21" s="10" customFormat="1" ht="15.75">
      <c r="A11" s="84">
        <v>4</v>
      </c>
      <c r="B11" s="75" t="s">
        <v>35</v>
      </c>
      <c r="C11" s="76">
        <v>5</v>
      </c>
      <c r="D11" s="85">
        <v>6</v>
      </c>
      <c r="E11" s="85"/>
      <c r="F11" s="85"/>
      <c r="G11" s="78">
        <v>38433</v>
      </c>
      <c r="H11" s="78">
        <v>1749</v>
      </c>
      <c r="I11" s="78">
        <f>SUM(G11:H11)</f>
        <v>40182</v>
      </c>
      <c r="J11" s="79">
        <v>1</v>
      </c>
      <c r="K11" s="79">
        <v>1.064</v>
      </c>
      <c r="L11" s="78">
        <f t="shared" si="0"/>
        <v>42642</v>
      </c>
      <c r="M11" s="9">
        <f t="shared" si="3"/>
        <v>85.3</v>
      </c>
      <c r="N11" s="9">
        <f t="shared" si="4"/>
        <v>0</v>
      </c>
      <c r="O11" s="9">
        <f t="shared" si="5"/>
        <v>0</v>
      </c>
      <c r="P11" s="9">
        <f t="shared" si="1"/>
        <v>85.3</v>
      </c>
      <c r="Q11" s="80">
        <v>0.923</v>
      </c>
      <c r="R11" s="9">
        <f>ROUND(M11*Q11,1)-1.2</f>
        <v>77.5</v>
      </c>
      <c r="S11" s="9">
        <f t="shared" si="6"/>
        <v>0</v>
      </c>
      <c r="T11" s="9">
        <f t="shared" si="7"/>
        <v>0</v>
      </c>
      <c r="U11" s="9">
        <f t="shared" si="8"/>
        <v>77.5</v>
      </c>
    </row>
    <row r="12" spans="1:21" s="10" customFormat="1" ht="15.75">
      <c r="A12" s="74">
        <v>5</v>
      </c>
      <c r="B12" s="75" t="s">
        <v>36</v>
      </c>
      <c r="C12" s="76">
        <v>5</v>
      </c>
      <c r="D12" s="11">
        <v>9</v>
      </c>
      <c r="E12" s="11"/>
      <c r="F12" s="11"/>
      <c r="G12" s="78">
        <v>38433</v>
      </c>
      <c r="H12" s="78">
        <v>1749</v>
      </c>
      <c r="I12" s="78">
        <f t="shared" si="2"/>
        <v>40182</v>
      </c>
      <c r="J12" s="79">
        <v>1</v>
      </c>
      <c r="K12" s="79">
        <v>1.064</v>
      </c>
      <c r="L12" s="78">
        <f t="shared" si="0"/>
        <v>42642</v>
      </c>
      <c r="M12" s="9">
        <f t="shared" si="3"/>
        <v>127.9</v>
      </c>
      <c r="N12" s="9">
        <f t="shared" si="4"/>
        <v>0</v>
      </c>
      <c r="O12" s="9">
        <f t="shared" si="5"/>
        <v>0</v>
      </c>
      <c r="P12" s="9">
        <f t="shared" si="1"/>
        <v>127.9</v>
      </c>
      <c r="Q12" s="80">
        <v>1.309</v>
      </c>
      <c r="R12" s="9">
        <f>ROUND(M12*Q12,1)+0.4</f>
        <v>167.8</v>
      </c>
      <c r="S12" s="9">
        <f t="shared" si="6"/>
        <v>0</v>
      </c>
      <c r="T12" s="9">
        <f t="shared" si="7"/>
        <v>0</v>
      </c>
      <c r="U12" s="9">
        <f t="shared" si="8"/>
        <v>167.8</v>
      </c>
    </row>
    <row r="13" spans="1:21" s="10" customFormat="1" ht="15.75">
      <c r="A13" s="84">
        <v>6</v>
      </c>
      <c r="B13" s="75" t="s">
        <v>37</v>
      </c>
      <c r="C13" s="76">
        <v>5</v>
      </c>
      <c r="D13" s="11">
        <v>8</v>
      </c>
      <c r="E13" s="11"/>
      <c r="F13" s="11"/>
      <c r="G13" s="78">
        <v>38433</v>
      </c>
      <c r="H13" s="78">
        <v>1749</v>
      </c>
      <c r="I13" s="78">
        <f t="shared" si="2"/>
        <v>40182</v>
      </c>
      <c r="J13" s="79">
        <v>1</v>
      </c>
      <c r="K13" s="79">
        <v>1.064</v>
      </c>
      <c r="L13" s="78">
        <f t="shared" si="0"/>
        <v>42642</v>
      </c>
      <c r="M13" s="9">
        <f t="shared" si="3"/>
        <v>113.7</v>
      </c>
      <c r="N13" s="9">
        <f t="shared" si="4"/>
        <v>0</v>
      </c>
      <c r="O13" s="9">
        <f t="shared" si="5"/>
        <v>0</v>
      </c>
      <c r="P13" s="9">
        <f t="shared" si="1"/>
        <v>113.7</v>
      </c>
      <c r="Q13" s="80">
        <v>0.997</v>
      </c>
      <c r="R13" s="9">
        <f>ROUND(M13*Q13,1)+3.7</f>
        <v>117.10000000000001</v>
      </c>
      <c r="S13" s="9">
        <f t="shared" si="6"/>
        <v>0</v>
      </c>
      <c r="T13" s="9">
        <f t="shared" si="7"/>
        <v>0</v>
      </c>
      <c r="U13" s="9">
        <f t="shared" si="8"/>
        <v>117.10000000000001</v>
      </c>
    </row>
    <row r="14" spans="1:21" s="10" customFormat="1" ht="15.75" customHeight="1">
      <c r="A14" s="74">
        <v>7</v>
      </c>
      <c r="B14" s="75" t="s">
        <v>38</v>
      </c>
      <c r="C14" s="76">
        <v>5</v>
      </c>
      <c r="D14" s="11">
        <v>1</v>
      </c>
      <c r="E14" s="11"/>
      <c r="F14" s="11"/>
      <c r="G14" s="78">
        <v>38433</v>
      </c>
      <c r="H14" s="78">
        <v>1749</v>
      </c>
      <c r="I14" s="78">
        <f t="shared" si="2"/>
        <v>40182</v>
      </c>
      <c r="J14" s="79">
        <v>1</v>
      </c>
      <c r="K14" s="79">
        <v>1.064</v>
      </c>
      <c r="L14" s="78">
        <f t="shared" si="0"/>
        <v>42642</v>
      </c>
      <c r="M14" s="9">
        <f t="shared" si="3"/>
        <v>14.2</v>
      </c>
      <c r="N14" s="9">
        <f t="shared" si="4"/>
        <v>0</v>
      </c>
      <c r="O14" s="9">
        <f t="shared" si="5"/>
        <v>0</v>
      </c>
      <c r="P14" s="9">
        <f t="shared" si="1"/>
        <v>14.2</v>
      </c>
      <c r="Q14" s="80">
        <v>0.848</v>
      </c>
      <c r="R14" s="9">
        <f>ROUND(M14*Q14,1)-3.2</f>
        <v>8.8</v>
      </c>
      <c r="S14" s="9">
        <f t="shared" si="6"/>
        <v>0</v>
      </c>
      <c r="T14" s="9">
        <f t="shared" si="7"/>
        <v>0</v>
      </c>
      <c r="U14" s="9">
        <f t="shared" si="8"/>
        <v>8.8</v>
      </c>
    </row>
    <row r="15" spans="1:21" s="89" customFormat="1" ht="15.75">
      <c r="A15" s="84">
        <v>8</v>
      </c>
      <c r="B15" s="86" t="s">
        <v>39</v>
      </c>
      <c r="C15" s="76">
        <v>5</v>
      </c>
      <c r="D15" s="11">
        <v>8</v>
      </c>
      <c r="E15" s="11"/>
      <c r="F15" s="11"/>
      <c r="G15" s="78">
        <v>38433</v>
      </c>
      <c r="H15" s="78">
        <v>1749</v>
      </c>
      <c r="I15" s="78">
        <f t="shared" si="2"/>
        <v>40182</v>
      </c>
      <c r="J15" s="79">
        <v>1</v>
      </c>
      <c r="K15" s="79">
        <v>1.064</v>
      </c>
      <c r="L15" s="78">
        <f t="shared" si="0"/>
        <v>42642</v>
      </c>
      <c r="M15" s="9">
        <f t="shared" si="3"/>
        <v>113.7</v>
      </c>
      <c r="N15" s="9">
        <f t="shared" si="4"/>
        <v>0</v>
      </c>
      <c r="O15" s="9">
        <f t="shared" si="5"/>
        <v>0</v>
      </c>
      <c r="P15" s="9">
        <f t="shared" si="1"/>
        <v>113.7</v>
      </c>
      <c r="Q15" s="80">
        <v>0.908</v>
      </c>
      <c r="R15" s="9">
        <f>ROUND(M15*Q15,1)-5.4</f>
        <v>97.8</v>
      </c>
      <c r="S15" s="9">
        <f t="shared" si="6"/>
        <v>0</v>
      </c>
      <c r="T15" s="9">
        <f t="shared" si="7"/>
        <v>0</v>
      </c>
      <c r="U15" s="9">
        <f t="shared" si="8"/>
        <v>97.8</v>
      </c>
    </row>
    <row r="16" spans="1:21" s="10" customFormat="1" ht="31.5">
      <c r="A16" s="74">
        <v>9</v>
      </c>
      <c r="B16" s="75" t="s">
        <v>40</v>
      </c>
      <c r="C16" s="76">
        <v>5</v>
      </c>
      <c r="D16" s="11"/>
      <c r="E16" s="11"/>
      <c r="F16" s="11"/>
      <c r="G16" s="78">
        <v>38433</v>
      </c>
      <c r="H16" s="78">
        <v>1749</v>
      </c>
      <c r="I16" s="78">
        <f t="shared" si="2"/>
        <v>40182</v>
      </c>
      <c r="J16" s="90">
        <v>1.124</v>
      </c>
      <c r="K16" s="79">
        <v>1.064</v>
      </c>
      <c r="L16" s="78">
        <f t="shared" si="0"/>
        <v>47407</v>
      </c>
      <c r="M16" s="9">
        <f t="shared" si="3"/>
        <v>0</v>
      </c>
      <c r="N16" s="9">
        <f t="shared" si="4"/>
        <v>0</v>
      </c>
      <c r="O16" s="9">
        <f t="shared" si="5"/>
        <v>0</v>
      </c>
      <c r="P16" s="9">
        <f t="shared" si="1"/>
        <v>0</v>
      </c>
      <c r="Q16" s="80">
        <v>0.683</v>
      </c>
      <c r="R16" s="9">
        <f aca="true" t="shared" si="9" ref="R9:R44">ROUND(M16*Q16,1)</f>
        <v>0</v>
      </c>
      <c r="S16" s="9">
        <f t="shared" si="6"/>
        <v>0</v>
      </c>
      <c r="T16" s="9">
        <f t="shared" si="7"/>
        <v>0</v>
      </c>
      <c r="U16" s="9">
        <f t="shared" si="8"/>
        <v>0</v>
      </c>
    </row>
    <row r="17" spans="1:21" s="10" customFormat="1" ht="15.75">
      <c r="A17" s="84">
        <v>10</v>
      </c>
      <c r="B17" s="91" t="s">
        <v>41</v>
      </c>
      <c r="C17" s="76">
        <v>5</v>
      </c>
      <c r="D17" s="11"/>
      <c r="E17" s="11"/>
      <c r="F17" s="11"/>
      <c r="G17" s="78">
        <v>38433</v>
      </c>
      <c r="H17" s="78">
        <v>1749</v>
      </c>
      <c r="I17" s="78">
        <f t="shared" si="2"/>
        <v>40182</v>
      </c>
      <c r="J17" s="90">
        <v>1.124</v>
      </c>
      <c r="K17" s="79">
        <v>1.064</v>
      </c>
      <c r="L17" s="78">
        <f t="shared" si="0"/>
        <v>47407</v>
      </c>
      <c r="M17" s="9">
        <f t="shared" si="3"/>
        <v>0</v>
      </c>
      <c r="N17" s="9">
        <f t="shared" si="4"/>
        <v>0</v>
      </c>
      <c r="O17" s="9">
        <f t="shared" si="5"/>
        <v>0</v>
      </c>
      <c r="P17" s="9">
        <f t="shared" si="1"/>
        <v>0</v>
      </c>
      <c r="Q17" s="80">
        <v>1.033</v>
      </c>
      <c r="R17" s="9">
        <f t="shared" si="9"/>
        <v>0</v>
      </c>
      <c r="S17" s="9">
        <f t="shared" si="6"/>
        <v>0</v>
      </c>
      <c r="T17" s="9">
        <f t="shared" si="7"/>
        <v>0</v>
      </c>
      <c r="U17" s="9">
        <f t="shared" si="8"/>
        <v>0</v>
      </c>
    </row>
    <row r="18" spans="1:21" s="10" customFormat="1" ht="15.75">
      <c r="A18" s="74">
        <v>11</v>
      </c>
      <c r="B18" s="91" t="s">
        <v>42</v>
      </c>
      <c r="C18" s="76">
        <v>5</v>
      </c>
      <c r="D18" s="11">
        <v>2</v>
      </c>
      <c r="E18" s="11"/>
      <c r="F18" s="11"/>
      <c r="G18" s="78">
        <v>38433</v>
      </c>
      <c r="H18" s="78">
        <v>1749</v>
      </c>
      <c r="I18" s="78">
        <f t="shared" si="2"/>
        <v>40182</v>
      </c>
      <c r="J18" s="90">
        <v>1.124</v>
      </c>
      <c r="K18" s="79">
        <v>1.064</v>
      </c>
      <c r="L18" s="78">
        <f t="shared" si="0"/>
        <v>47407</v>
      </c>
      <c r="M18" s="9">
        <f t="shared" si="3"/>
        <v>31.6</v>
      </c>
      <c r="N18" s="9">
        <f t="shared" si="4"/>
        <v>0</v>
      </c>
      <c r="O18" s="9">
        <f t="shared" si="5"/>
        <v>0</v>
      </c>
      <c r="P18" s="9">
        <f t="shared" si="1"/>
        <v>31.6</v>
      </c>
      <c r="Q18" s="80">
        <v>1.183</v>
      </c>
      <c r="R18" s="9">
        <f t="shared" si="9"/>
        <v>37.4</v>
      </c>
      <c r="S18" s="9">
        <f t="shared" si="6"/>
        <v>0</v>
      </c>
      <c r="T18" s="9">
        <f t="shared" si="7"/>
        <v>0</v>
      </c>
      <c r="U18" s="9">
        <f t="shared" si="8"/>
        <v>37.4</v>
      </c>
    </row>
    <row r="19" spans="1:21" s="10" customFormat="1" ht="15.75">
      <c r="A19" s="84">
        <v>12</v>
      </c>
      <c r="B19" s="91" t="s">
        <v>43</v>
      </c>
      <c r="C19" s="76">
        <v>5</v>
      </c>
      <c r="D19" s="11">
        <v>1</v>
      </c>
      <c r="E19" s="11"/>
      <c r="F19" s="11"/>
      <c r="G19" s="78">
        <v>38433</v>
      </c>
      <c r="H19" s="78">
        <v>1749</v>
      </c>
      <c r="I19" s="78">
        <f t="shared" si="2"/>
        <v>40182</v>
      </c>
      <c r="J19" s="90">
        <v>1.124</v>
      </c>
      <c r="K19" s="79">
        <v>1.064</v>
      </c>
      <c r="L19" s="78">
        <f t="shared" si="0"/>
        <v>47407</v>
      </c>
      <c r="M19" s="9">
        <f t="shared" si="3"/>
        <v>15.8</v>
      </c>
      <c r="N19" s="9">
        <f t="shared" si="4"/>
        <v>0</v>
      </c>
      <c r="O19" s="9">
        <f t="shared" si="5"/>
        <v>0</v>
      </c>
      <c r="P19" s="9">
        <f t="shared" si="1"/>
        <v>15.8</v>
      </c>
      <c r="Q19" s="80">
        <v>0.968</v>
      </c>
      <c r="R19" s="9">
        <f>ROUND(M19*Q19,1)-1.3</f>
        <v>14</v>
      </c>
      <c r="S19" s="9">
        <f t="shared" si="6"/>
        <v>0</v>
      </c>
      <c r="T19" s="9">
        <f t="shared" si="7"/>
        <v>0</v>
      </c>
      <c r="U19" s="9">
        <f t="shared" si="8"/>
        <v>14</v>
      </c>
    </row>
    <row r="20" spans="1:21" s="10" customFormat="1" ht="15.75">
      <c r="A20" s="74">
        <v>13</v>
      </c>
      <c r="B20" s="91" t="s">
        <v>44</v>
      </c>
      <c r="C20" s="76">
        <v>5</v>
      </c>
      <c r="D20" s="11">
        <v>4</v>
      </c>
      <c r="E20" s="11"/>
      <c r="F20" s="11">
        <v>1</v>
      </c>
      <c r="G20" s="78">
        <v>38433</v>
      </c>
      <c r="H20" s="78">
        <v>1749</v>
      </c>
      <c r="I20" s="78">
        <f t="shared" si="2"/>
        <v>40182</v>
      </c>
      <c r="J20" s="90">
        <v>1.124</v>
      </c>
      <c r="K20" s="79">
        <v>1.064</v>
      </c>
      <c r="L20" s="78">
        <f t="shared" si="0"/>
        <v>47407</v>
      </c>
      <c r="M20" s="9">
        <f t="shared" si="3"/>
        <v>63.2</v>
      </c>
      <c r="N20" s="9">
        <f t="shared" si="4"/>
        <v>0</v>
      </c>
      <c r="O20" s="9">
        <f t="shared" si="5"/>
        <v>15.8</v>
      </c>
      <c r="P20" s="9">
        <f t="shared" si="1"/>
        <v>79</v>
      </c>
      <c r="Q20" s="80">
        <v>0.881</v>
      </c>
      <c r="R20" s="9">
        <f>ROUND(M20*Q20,1)-5.7</f>
        <v>50</v>
      </c>
      <c r="S20" s="9">
        <f t="shared" si="6"/>
        <v>0</v>
      </c>
      <c r="T20" s="9">
        <f t="shared" si="7"/>
        <v>13.9</v>
      </c>
      <c r="U20" s="9">
        <f t="shared" si="8"/>
        <v>63.9</v>
      </c>
    </row>
    <row r="21" spans="1:21" s="10" customFormat="1" ht="19.5" customHeight="1">
      <c r="A21" s="84">
        <v>14</v>
      </c>
      <c r="B21" s="91" t="s">
        <v>45</v>
      </c>
      <c r="C21" s="76">
        <v>5</v>
      </c>
      <c r="D21" s="11">
        <v>1</v>
      </c>
      <c r="E21" s="11"/>
      <c r="F21" s="11"/>
      <c r="G21" s="78">
        <v>38433</v>
      </c>
      <c r="H21" s="78">
        <v>1749</v>
      </c>
      <c r="I21" s="78">
        <f t="shared" si="2"/>
        <v>40182</v>
      </c>
      <c r="J21" s="90">
        <v>1.124</v>
      </c>
      <c r="K21" s="79">
        <v>1.064</v>
      </c>
      <c r="L21" s="78">
        <f t="shared" si="0"/>
        <v>47407</v>
      </c>
      <c r="M21" s="9">
        <f t="shared" si="3"/>
        <v>15.8</v>
      </c>
      <c r="N21" s="9">
        <f t="shared" si="4"/>
        <v>0</v>
      </c>
      <c r="O21" s="9">
        <f t="shared" si="5"/>
        <v>0</v>
      </c>
      <c r="P21" s="9">
        <f t="shared" si="1"/>
        <v>15.8</v>
      </c>
      <c r="Q21" s="80">
        <v>1.12</v>
      </c>
      <c r="R21" s="9">
        <f>ROUND(M21*Q21,1)-1.4</f>
        <v>16.3</v>
      </c>
      <c r="S21" s="9">
        <f t="shared" si="6"/>
        <v>0</v>
      </c>
      <c r="T21" s="9">
        <f t="shared" si="7"/>
        <v>0</v>
      </c>
      <c r="U21" s="9">
        <f t="shared" si="8"/>
        <v>16.3</v>
      </c>
    </row>
    <row r="22" spans="1:21" s="10" customFormat="1" ht="15.75">
      <c r="A22" s="74">
        <v>15</v>
      </c>
      <c r="B22" s="91" t="s">
        <v>46</v>
      </c>
      <c r="C22" s="76">
        <v>5</v>
      </c>
      <c r="D22" s="11">
        <v>7</v>
      </c>
      <c r="E22" s="11"/>
      <c r="F22" s="11"/>
      <c r="G22" s="78">
        <v>38433</v>
      </c>
      <c r="H22" s="78">
        <v>1749</v>
      </c>
      <c r="I22" s="78">
        <f t="shared" si="2"/>
        <v>40182</v>
      </c>
      <c r="J22" s="90">
        <v>1.124</v>
      </c>
      <c r="K22" s="79">
        <v>1.064</v>
      </c>
      <c r="L22" s="78">
        <f t="shared" si="0"/>
        <v>47407</v>
      </c>
      <c r="M22" s="9">
        <f t="shared" si="3"/>
        <v>110.6</v>
      </c>
      <c r="N22" s="9">
        <f t="shared" si="4"/>
        <v>0</v>
      </c>
      <c r="O22" s="9">
        <f t="shared" si="5"/>
        <v>0</v>
      </c>
      <c r="P22" s="9">
        <f t="shared" si="1"/>
        <v>110.6</v>
      </c>
      <c r="Q22" s="80">
        <v>0.948</v>
      </c>
      <c r="R22" s="9">
        <f>ROUND(M22*Q22,1)-4.2</f>
        <v>100.6</v>
      </c>
      <c r="S22" s="9">
        <f t="shared" si="6"/>
        <v>0</v>
      </c>
      <c r="T22" s="9">
        <f t="shared" si="7"/>
        <v>0</v>
      </c>
      <c r="U22" s="9">
        <f t="shared" si="8"/>
        <v>100.6</v>
      </c>
    </row>
    <row r="23" spans="1:21" s="10" customFormat="1" ht="15.75" customHeight="1">
      <c r="A23" s="84">
        <v>16</v>
      </c>
      <c r="B23" s="91" t="s">
        <v>47</v>
      </c>
      <c r="C23" s="76">
        <v>5</v>
      </c>
      <c r="D23" s="11">
        <v>1</v>
      </c>
      <c r="E23" s="11"/>
      <c r="F23" s="11"/>
      <c r="G23" s="78">
        <v>38433</v>
      </c>
      <c r="H23" s="78">
        <v>1749</v>
      </c>
      <c r="I23" s="78">
        <f t="shared" si="2"/>
        <v>40182</v>
      </c>
      <c r="J23" s="90">
        <v>1.124</v>
      </c>
      <c r="K23" s="79">
        <v>1.064</v>
      </c>
      <c r="L23" s="78">
        <f t="shared" si="0"/>
        <v>47407</v>
      </c>
      <c r="M23" s="9">
        <f t="shared" si="3"/>
        <v>15.8</v>
      </c>
      <c r="N23" s="9">
        <f t="shared" si="4"/>
        <v>0</v>
      </c>
      <c r="O23" s="9">
        <f t="shared" si="5"/>
        <v>0</v>
      </c>
      <c r="P23" s="9">
        <f t="shared" si="1"/>
        <v>15.8</v>
      </c>
      <c r="Q23" s="80">
        <v>0.771</v>
      </c>
      <c r="R23" s="9">
        <f>ROUND(M23*Q23,1)-1.7</f>
        <v>10.5</v>
      </c>
      <c r="S23" s="9">
        <f t="shared" si="6"/>
        <v>0</v>
      </c>
      <c r="T23" s="9">
        <f t="shared" si="7"/>
        <v>0</v>
      </c>
      <c r="U23" s="9">
        <f t="shared" si="8"/>
        <v>10.5</v>
      </c>
    </row>
    <row r="24" spans="1:21" s="10" customFormat="1" ht="15.75">
      <c r="A24" s="74">
        <v>17</v>
      </c>
      <c r="B24" s="91" t="s">
        <v>48</v>
      </c>
      <c r="C24" s="76">
        <v>5</v>
      </c>
      <c r="D24" s="11">
        <v>2</v>
      </c>
      <c r="E24" s="11"/>
      <c r="F24" s="11"/>
      <c r="G24" s="78">
        <v>38433</v>
      </c>
      <c r="H24" s="78">
        <v>1749</v>
      </c>
      <c r="I24" s="78">
        <f t="shared" si="2"/>
        <v>40182</v>
      </c>
      <c r="J24" s="90">
        <v>1.124</v>
      </c>
      <c r="K24" s="79">
        <v>1.064</v>
      </c>
      <c r="L24" s="78">
        <f t="shared" si="0"/>
        <v>47407</v>
      </c>
      <c r="M24" s="9">
        <f t="shared" si="3"/>
        <v>31.6</v>
      </c>
      <c r="N24" s="9">
        <f t="shared" si="4"/>
        <v>0</v>
      </c>
      <c r="O24" s="9">
        <f t="shared" si="5"/>
        <v>0</v>
      </c>
      <c r="P24" s="9">
        <f t="shared" si="1"/>
        <v>31.6</v>
      </c>
      <c r="Q24" s="80">
        <v>0.829</v>
      </c>
      <c r="R24" s="9">
        <f>ROUND(M24*Q24,1)-1.3</f>
        <v>24.9</v>
      </c>
      <c r="S24" s="9">
        <f t="shared" si="6"/>
        <v>0</v>
      </c>
      <c r="T24" s="9">
        <f t="shared" si="7"/>
        <v>0</v>
      </c>
      <c r="U24" s="9">
        <f t="shared" si="8"/>
        <v>24.9</v>
      </c>
    </row>
    <row r="25" spans="1:21" s="10" customFormat="1" ht="15.75">
      <c r="A25" s="84">
        <v>18</v>
      </c>
      <c r="B25" s="91" t="s">
        <v>49</v>
      </c>
      <c r="C25" s="76">
        <v>5</v>
      </c>
      <c r="D25" s="11">
        <v>6</v>
      </c>
      <c r="E25" s="11"/>
      <c r="F25" s="11"/>
      <c r="G25" s="78">
        <v>38433</v>
      </c>
      <c r="H25" s="78">
        <v>1749</v>
      </c>
      <c r="I25" s="78">
        <f t="shared" si="2"/>
        <v>40182</v>
      </c>
      <c r="J25" s="90">
        <v>1.124</v>
      </c>
      <c r="K25" s="79">
        <v>1.064</v>
      </c>
      <c r="L25" s="78">
        <f t="shared" si="0"/>
        <v>47407</v>
      </c>
      <c r="M25" s="9">
        <f t="shared" si="3"/>
        <v>94.8</v>
      </c>
      <c r="N25" s="9">
        <f t="shared" si="4"/>
        <v>0</v>
      </c>
      <c r="O25" s="9">
        <f t="shared" si="5"/>
        <v>0</v>
      </c>
      <c r="P25" s="9">
        <f t="shared" si="1"/>
        <v>94.8</v>
      </c>
      <c r="Q25" s="80">
        <v>0.963</v>
      </c>
      <c r="R25" s="9">
        <f>ROUND(M25*Q25,1)-2.1</f>
        <v>89.2</v>
      </c>
      <c r="S25" s="9">
        <f t="shared" si="6"/>
        <v>0</v>
      </c>
      <c r="T25" s="9">
        <f t="shared" si="7"/>
        <v>0</v>
      </c>
      <c r="U25" s="9">
        <f t="shared" si="8"/>
        <v>89.2</v>
      </c>
    </row>
    <row r="26" spans="1:21" s="10" customFormat="1" ht="31.5">
      <c r="A26" s="74">
        <v>19</v>
      </c>
      <c r="B26" s="91" t="s">
        <v>50</v>
      </c>
      <c r="C26" s="76">
        <v>5</v>
      </c>
      <c r="D26" s="11">
        <v>1</v>
      </c>
      <c r="E26" s="11"/>
      <c r="F26" s="11"/>
      <c r="G26" s="78">
        <v>38433</v>
      </c>
      <c r="H26" s="78">
        <v>1749</v>
      </c>
      <c r="I26" s="78">
        <f t="shared" si="2"/>
        <v>40182</v>
      </c>
      <c r="J26" s="90">
        <v>1.124</v>
      </c>
      <c r="K26" s="79">
        <v>1.064</v>
      </c>
      <c r="L26" s="78">
        <f t="shared" si="0"/>
        <v>47407</v>
      </c>
      <c r="M26" s="9">
        <f t="shared" si="3"/>
        <v>15.8</v>
      </c>
      <c r="N26" s="9">
        <f t="shared" si="4"/>
        <v>0</v>
      </c>
      <c r="O26" s="9">
        <f t="shared" si="5"/>
        <v>0</v>
      </c>
      <c r="P26" s="9">
        <f t="shared" si="1"/>
        <v>15.8</v>
      </c>
      <c r="Q26" s="80">
        <v>0.903</v>
      </c>
      <c r="R26" s="9">
        <f>ROUND(M26*Q26,1)+0.1</f>
        <v>14.4</v>
      </c>
      <c r="S26" s="9">
        <f t="shared" si="6"/>
        <v>0</v>
      </c>
      <c r="T26" s="9">
        <f t="shared" si="7"/>
        <v>0</v>
      </c>
      <c r="U26" s="9">
        <f t="shared" si="8"/>
        <v>14.4</v>
      </c>
    </row>
    <row r="27" spans="1:21" s="10" customFormat="1" ht="15" customHeight="1">
      <c r="A27" s="84">
        <v>20</v>
      </c>
      <c r="B27" s="91" t="s">
        <v>51</v>
      </c>
      <c r="C27" s="76">
        <v>5</v>
      </c>
      <c r="D27" s="11">
        <v>1</v>
      </c>
      <c r="E27" s="11"/>
      <c r="F27" s="11"/>
      <c r="G27" s="78">
        <v>38433</v>
      </c>
      <c r="H27" s="78">
        <v>1749</v>
      </c>
      <c r="I27" s="78">
        <f t="shared" si="2"/>
        <v>40182</v>
      </c>
      <c r="J27" s="90">
        <v>1.124</v>
      </c>
      <c r="K27" s="79">
        <v>1.064</v>
      </c>
      <c r="L27" s="78">
        <f t="shared" si="0"/>
        <v>47407</v>
      </c>
      <c r="M27" s="9">
        <f t="shared" si="3"/>
        <v>15.8</v>
      </c>
      <c r="N27" s="9">
        <f t="shared" si="4"/>
        <v>0</v>
      </c>
      <c r="O27" s="9">
        <f t="shared" si="5"/>
        <v>0</v>
      </c>
      <c r="P27" s="9">
        <f t="shared" si="1"/>
        <v>15.8</v>
      </c>
      <c r="Q27" s="80">
        <v>0.838</v>
      </c>
      <c r="R27" s="9">
        <f>ROUND(M27*Q27,1)-1</f>
        <v>12.2</v>
      </c>
      <c r="S27" s="9">
        <f t="shared" si="6"/>
        <v>0</v>
      </c>
      <c r="T27" s="9">
        <f t="shared" si="7"/>
        <v>0</v>
      </c>
      <c r="U27" s="9">
        <f t="shared" si="8"/>
        <v>12.2</v>
      </c>
    </row>
    <row r="28" spans="1:21" s="10" customFormat="1" ht="18.75" customHeight="1">
      <c r="A28" s="74">
        <v>21</v>
      </c>
      <c r="B28" s="91" t="s">
        <v>52</v>
      </c>
      <c r="C28" s="76">
        <v>5</v>
      </c>
      <c r="D28" s="11">
        <v>1</v>
      </c>
      <c r="E28" s="11"/>
      <c r="F28" s="11">
        <v>1</v>
      </c>
      <c r="G28" s="78">
        <v>38433</v>
      </c>
      <c r="H28" s="78">
        <v>1749</v>
      </c>
      <c r="I28" s="78">
        <f t="shared" si="2"/>
        <v>40182</v>
      </c>
      <c r="J28" s="90">
        <v>1.124</v>
      </c>
      <c r="K28" s="79">
        <v>1.064</v>
      </c>
      <c r="L28" s="78">
        <f t="shared" si="0"/>
        <v>47407</v>
      </c>
      <c r="M28" s="9">
        <f t="shared" si="3"/>
        <v>15.8</v>
      </c>
      <c r="N28" s="9">
        <f t="shared" si="4"/>
        <v>0</v>
      </c>
      <c r="O28" s="9">
        <f t="shared" si="5"/>
        <v>15.8</v>
      </c>
      <c r="P28" s="9">
        <f t="shared" si="1"/>
        <v>31.6</v>
      </c>
      <c r="Q28" s="80">
        <v>1.042</v>
      </c>
      <c r="R28" s="9">
        <f>ROUND(M28*Q28,1)+1.8</f>
        <v>18.3</v>
      </c>
      <c r="S28" s="9">
        <f t="shared" si="6"/>
        <v>0</v>
      </c>
      <c r="T28" s="9">
        <f t="shared" si="7"/>
        <v>16.5</v>
      </c>
      <c r="U28" s="9">
        <f t="shared" si="8"/>
        <v>34.8</v>
      </c>
    </row>
    <row r="29" spans="1:21" s="10" customFormat="1" ht="31.5">
      <c r="A29" s="84">
        <v>22</v>
      </c>
      <c r="B29" s="91" t="s">
        <v>53</v>
      </c>
      <c r="C29" s="76">
        <v>5</v>
      </c>
      <c r="D29" s="11"/>
      <c r="E29" s="11"/>
      <c r="F29" s="11"/>
      <c r="G29" s="78">
        <v>38433</v>
      </c>
      <c r="H29" s="78">
        <v>1749</v>
      </c>
      <c r="I29" s="78">
        <f t="shared" si="2"/>
        <v>40182</v>
      </c>
      <c r="J29" s="90">
        <v>1.124</v>
      </c>
      <c r="K29" s="79">
        <v>1.064</v>
      </c>
      <c r="L29" s="78">
        <f t="shared" si="0"/>
        <v>47407</v>
      </c>
      <c r="M29" s="9">
        <f t="shared" si="3"/>
        <v>0</v>
      </c>
      <c r="N29" s="9">
        <f t="shared" si="4"/>
        <v>0</v>
      </c>
      <c r="O29" s="9">
        <f t="shared" si="5"/>
        <v>0</v>
      </c>
      <c r="P29" s="9">
        <f t="shared" si="1"/>
        <v>0</v>
      </c>
      <c r="Q29" s="80">
        <v>0.786</v>
      </c>
      <c r="R29" s="9">
        <f t="shared" si="9"/>
        <v>0</v>
      </c>
      <c r="S29" s="9">
        <f t="shared" si="6"/>
        <v>0</v>
      </c>
      <c r="T29" s="9">
        <f t="shared" si="7"/>
        <v>0</v>
      </c>
      <c r="U29" s="9">
        <f t="shared" si="8"/>
        <v>0</v>
      </c>
    </row>
    <row r="30" spans="1:21" s="10" customFormat="1" ht="15.75">
      <c r="A30" s="74">
        <v>23</v>
      </c>
      <c r="B30" s="91" t="s">
        <v>54</v>
      </c>
      <c r="C30" s="76">
        <v>5</v>
      </c>
      <c r="D30" s="11"/>
      <c r="E30" s="11"/>
      <c r="F30" s="11"/>
      <c r="G30" s="78">
        <v>38433</v>
      </c>
      <c r="H30" s="78">
        <v>1749</v>
      </c>
      <c r="I30" s="78">
        <f t="shared" si="2"/>
        <v>40182</v>
      </c>
      <c r="J30" s="90">
        <v>1.124</v>
      </c>
      <c r="K30" s="79">
        <v>1.064</v>
      </c>
      <c r="L30" s="78">
        <f t="shared" si="0"/>
        <v>47407</v>
      </c>
      <c r="M30" s="9">
        <f t="shared" si="3"/>
        <v>0</v>
      </c>
      <c r="N30" s="9">
        <f t="shared" si="4"/>
        <v>0</v>
      </c>
      <c r="O30" s="9">
        <f t="shared" si="5"/>
        <v>0</v>
      </c>
      <c r="P30" s="9">
        <f t="shared" si="1"/>
        <v>0</v>
      </c>
      <c r="Q30" s="80">
        <v>1.141</v>
      </c>
      <c r="R30" s="9">
        <f t="shared" si="9"/>
        <v>0</v>
      </c>
      <c r="S30" s="9">
        <f t="shared" si="6"/>
        <v>0</v>
      </c>
      <c r="T30" s="9">
        <f t="shared" si="7"/>
        <v>0</v>
      </c>
      <c r="U30" s="9">
        <f t="shared" si="8"/>
        <v>0</v>
      </c>
    </row>
    <row r="31" spans="1:21" s="10" customFormat="1" ht="39" customHeight="1">
      <c r="A31" s="84">
        <v>24</v>
      </c>
      <c r="B31" s="91" t="s">
        <v>55</v>
      </c>
      <c r="C31" s="76">
        <v>5</v>
      </c>
      <c r="D31" s="11">
        <v>2</v>
      </c>
      <c r="E31" s="11"/>
      <c r="F31" s="11"/>
      <c r="G31" s="78">
        <v>38433</v>
      </c>
      <c r="H31" s="78">
        <v>1749</v>
      </c>
      <c r="I31" s="78">
        <f t="shared" si="2"/>
        <v>40182</v>
      </c>
      <c r="J31" s="90">
        <v>1.124</v>
      </c>
      <c r="K31" s="79">
        <v>1.064</v>
      </c>
      <c r="L31" s="78">
        <f t="shared" si="0"/>
        <v>47407</v>
      </c>
      <c r="M31" s="9">
        <f t="shared" si="3"/>
        <v>31.6</v>
      </c>
      <c r="N31" s="9">
        <f t="shared" si="4"/>
        <v>0</v>
      </c>
      <c r="O31" s="9">
        <f t="shared" si="5"/>
        <v>0</v>
      </c>
      <c r="P31" s="9">
        <f t="shared" si="1"/>
        <v>31.6</v>
      </c>
      <c r="Q31" s="80">
        <v>0.826</v>
      </c>
      <c r="R31" s="9">
        <f>ROUND(M31*Q31,1)+0.9</f>
        <v>27</v>
      </c>
      <c r="S31" s="9">
        <f t="shared" si="6"/>
        <v>0</v>
      </c>
      <c r="T31" s="9">
        <f t="shared" si="7"/>
        <v>0</v>
      </c>
      <c r="U31" s="9">
        <f t="shared" si="8"/>
        <v>27</v>
      </c>
    </row>
    <row r="32" spans="1:21" s="10" customFormat="1" ht="27" customHeight="1">
      <c r="A32" s="74">
        <v>25</v>
      </c>
      <c r="B32" s="91" t="s">
        <v>56</v>
      </c>
      <c r="C32" s="76">
        <v>5</v>
      </c>
      <c r="D32" s="11"/>
      <c r="E32" s="11"/>
      <c r="F32" s="11"/>
      <c r="G32" s="78">
        <v>38433</v>
      </c>
      <c r="H32" s="78">
        <v>1749</v>
      </c>
      <c r="I32" s="78">
        <f t="shared" si="2"/>
        <v>40182</v>
      </c>
      <c r="J32" s="90">
        <v>1.124</v>
      </c>
      <c r="K32" s="79">
        <v>1.064</v>
      </c>
      <c r="L32" s="78">
        <f t="shared" si="0"/>
        <v>47407</v>
      </c>
      <c r="M32" s="9">
        <f t="shared" si="3"/>
        <v>0</v>
      </c>
      <c r="N32" s="9">
        <f t="shared" si="4"/>
        <v>0</v>
      </c>
      <c r="O32" s="9">
        <f t="shared" si="5"/>
        <v>0</v>
      </c>
      <c r="P32" s="9">
        <f t="shared" si="1"/>
        <v>0</v>
      </c>
      <c r="Q32" s="80">
        <v>0.823</v>
      </c>
      <c r="R32" s="9">
        <f t="shared" si="9"/>
        <v>0</v>
      </c>
      <c r="S32" s="9">
        <f t="shared" si="6"/>
        <v>0</v>
      </c>
      <c r="T32" s="9">
        <f t="shared" si="7"/>
        <v>0</v>
      </c>
      <c r="U32" s="9">
        <f t="shared" si="8"/>
        <v>0</v>
      </c>
    </row>
    <row r="33" spans="1:21" s="10" customFormat="1" ht="37.5" customHeight="1">
      <c r="A33" s="84">
        <v>26</v>
      </c>
      <c r="B33" s="91" t="s">
        <v>57</v>
      </c>
      <c r="C33" s="76">
        <v>5</v>
      </c>
      <c r="D33" s="11">
        <v>2</v>
      </c>
      <c r="E33" s="11"/>
      <c r="F33" s="11"/>
      <c r="G33" s="78">
        <v>38433</v>
      </c>
      <c r="H33" s="78">
        <v>1749</v>
      </c>
      <c r="I33" s="78">
        <f t="shared" si="2"/>
        <v>40182</v>
      </c>
      <c r="J33" s="90">
        <v>1.124</v>
      </c>
      <c r="K33" s="79">
        <v>1.064</v>
      </c>
      <c r="L33" s="78">
        <f t="shared" si="0"/>
        <v>47407</v>
      </c>
      <c r="M33" s="9">
        <f t="shared" si="3"/>
        <v>31.6</v>
      </c>
      <c r="N33" s="9">
        <f t="shared" si="4"/>
        <v>0</v>
      </c>
      <c r="O33" s="9">
        <f t="shared" si="5"/>
        <v>0</v>
      </c>
      <c r="P33" s="9">
        <f t="shared" si="1"/>
        <v>31.6</v>
      </c>
      <c r="Q33" s="80">
        <v>0.8</v>
      </c>
      <c r="R33" s="9">
        <f>ROUND(M33*Q33,1)-0.6</f>
        <v>24.7</v>
      </c>
      <c r="S33" s="9">
        <f t="shared" si="6"/>
        <v>0</v>
      </c>
      <c r="T33" s="9">
        <f t="shared" si="7"/>
        <v>0</v>
      </c>
      <c r="U33" s="9">
        <f t="shared" si="8"/>
        <v>24.7</v>
      </c>
    </row>
    <row r="34" spans="1:21" s="10" customFormat="1" ht="18.75" customHeight="1">
      <c r="A34" s="74">
        <v>27</v>
      </c>
      <c r="B34" s="91" t="s">
        <v>58</v>
      </c>
      <c r="C34" s="76">
        <v>5</v>
      </c>
      <c r="D34" s="11">
        <v>2</v>
      </c>
      <c r="E34" s="11"/>
      <c r="F34" s="11"/>
      <c r="G34" s="78">
        <v>38433</v>
      </c>
      <c r="H34" s="78">
        <v>1749</v>
      </c>
      <c r="I34" s="78">
        <f t="shared" si="2"/>
        <v>40182</v>
      </c>
      <c r="J34" s="90">
        <v>1.124</v>
      </c>
      <c r="K34" s="79">
        <v>1.064</v>
      </c>
      <c r="L34" s="78">
        <f t="shared" si="0"/>
        <v>47407</v>
      </c>
      <c r="M34" s="9">
        <f t="shared" si="3"/>
        <v>31.6</v>
      </c>
      <c r="N34" s="9">
        <f t="shared" si="4"/>
        <v>0</v>
      </c>
      <c r="O34" s="9">
        <f t="shared" si="5"/>
        <v>0</v>
      </c>
      <c r="P34" s="9">
        <f t="shared" si="1"/>
        <v>31.6</v>
      </c>
      <c r="Q34" s="80">
        <v>0.916</v>
      </c>
      <c r="R34" s="9">
        <f>ROUND(M34*Q34,1)+2.3</f>
        <v>31.2</v>
      </c>
      <c r="S34" s="9">
        <f t="shared" si="6"/>
        <v>0</v>
      </c>
      <c r="T34" s="9">
        <f t="shared" si="7"/>
        <v>0</v>
      </c>
      <c r="U34" s="9">
        <f t="shared" si="8"/>
        <v>31.2</v>
      </c>
    </row>
    <row r="35" spans="1:21" s="10" customFormat="1" ht="32.25" customHeight="1">
      <c r="A35" s="84">
        <v>28</v>
      </c>
      <c r="B35" s="91" t="s">
        <v>59</v>
      </c>
      <c r="C35" s="76">
        <v>5</v>
      </c>
      <c r="D35" s="11"/>
      <c r="E35" s="11"/>
      <c r="F35" s="11"/>
      <c r="G35" s="78">
        <v>38433</v>
      </c>
      <c r="H35" s="78">
        <v>1749</v>
      </c>
      <c r="I35" s="78">
        <f t="shared" si="2"/>
        <v>40182</v>
      </c>
      <c r="J35" s="90">
        <v>1.124</v>
      </c>
      <c r="K35" s="79">
        <v>1.064</v>
      </c>
      <c r="L35" s="78">
        <f t="shared" si="0"/>
        <v>47407</v>
      </c>
      <c r="M35" s="9">
        <f t="shared" si="3"/>
        <v>0</v>
      </c>
      <c r="N35" s="9">
        <f t="shared" si="4"/>
        <v>0</v>
      </c>
      <c r="O35" s="9">
        <f t="shared" si="5"/>
        <v>0</v>
      </c>
      <c r="P35" s="9">
        <f t="shared" si="1"/>
        <v>0</v>
      </c>
      <c r="Q35" s="80">
        <v>0.789</v>
      </c>
      <c r="R35" s="9">
        <f t="shared" si="9"/>
        <v>0</v>
      </c>
      <c r="S35" s="9">
        <f t="shared" si="6"/>
        <v>0</v>
      </c>
      <c r="T35" s="9">
        <f t="shared" si="7"/>
        <v>0</v>
      </c>
      <c r="U35" s="9">
        <f t="shared" si="8"/>
        <v>0</v>
      </c>
    </row>
    <row r="36" spans="1:21" s="10" customFormat="1" ht="31.5">
      <c r="A36" s="74">
        <v>29</v>
      </c>
      <c r="B36" s="91" t="s">
        <v>60</v>
      </c>
      <c r="C36" s="76">
        <v>5</v>
      </c>
      <c r="D36" s="11"/>
      <c r="E36" s="11">
        <v>1</v>
      </c>
      <c r="F36" s="11"/>
      <c r="G36" s="78">
        <v>38433</v>
      </c>
      <c r="H36" s="78">
        <v>1749</v>
      </c>
      <c r="I36" s="78">
        <f t="shared" si="2"/>
        <v>40182</v>
      </c>
      <c r="J36" s="90">
        <v>1.124</v>
      </c>
      <c r="K36" s="79">
        <v>1.064</v>
      </c>
      <c r="L36" s="78">
        <f t="shared" si="0"/>
        <v>47407</v>
      </c>
      <c r="M36" s="9">
        <f t="shared" si="3"/>
        <v>0</v>
      </c>
      <c r="N36" s="9">
        <f t="shared" si="4"/>
        <v>15.8</v>
      </c>
      <c r="O36" s="9">
        <f t="shared" si="5"/>
        <v>0</v>
      </c>
      <c r="P36" s="9">
        <f t="shared" si="1"/>
        <v>15.8</v>
      </c>
      <c r="Q36" s="80">
        <v>0.89</v>
      </c>
      <c r="R36" s="9">
        <f t="shared" si="9"/>
        <v>0</v>
      </c>
      <c r="S36" s="9">
        <f t="shared" si="6"/>
        <v>14.1</v>
      </c>
      <c r="T36" s="9">
        <f t="shared" si="7"/>
        <v>0</v>
      </c>
      <c r="U36" s="9">
        <f t="shared" si="8"/>
        <v>14.1</v>
      </c>
    </row>
    <row r="37" spans="1:21" s="10" customFormat="1" ht="31.5">
      <c r="A37" s="84">
        <v>30</v>
      </c>
      <c r="B37" s="91" t="s">
        <v>61</v>
      </c>
      <c r="C37" s="76">
        <v>5</v>
      </c>
      <c r="D37" s="11"/>
      <c r="E37" s="11"/>
      <c r="F37" s="11"/>
      <c r="G37" s="78">
        <v>38433</v>
      </c>
      <c r="H37" s="78">
        <v>1749</v>
      </c>
      <c r="I37" s="78">
        <f t="shared" si="2"/>
        <v>40182</v>
      </c>
      <c r="J37" s="90">
        <v>1.124</v>
      </c>
      <c r="K37" s="79">
        <v>1.064</v>
      </c>
      <c r="L37" s="78">
        <f t="shared" si="0"/>
        <v>47407</v>
      </c>
      <c r="M37" s="9">
        <f t="shared" si="3"/>
        <v>0</v>
      </c>
      <c r="N37" s="9">
        <f t="shared" si="4"/>
        <v>0</v>
      </c>
      <c r="O37" s="9">
        <f t="shared" si="5"/>
        <v>0</v>
      </c>
      <c r="P37" s="9">
        <f t="shared" si="1"/>
        <v>0</v>
      </c>
      <c r="Q37" s="80">
        <v>1.177</v>
      </c>
      <c r="R37" s="9">
        <f t="shared" si="9"/>
        <v>0</v>
      </c>
      <c r="S37" s="9">
        <f t="shared" si="6"/>
        <v>0</v>
      </c>
      <c r="T37" s="9">
        <f t="shared" si="7"/>
        <v>0</v>
      </c>
      <c r="U37" s="9">
        <f t="shared" si="8"/>
        <v>0</v>
      </c>
    </row>
    <row r="38" spans="1:21" s="10" customFormat="1" ht="31.5">
      <c r="A38" s="74">
        <v>31</v>
      </c>
      <c r="B38" s="91" t="s">
        <v>62</v>
      </c>
      <c r="C38" s="76">
        <v>5</v>
      </c>
      <c r="D38" s="11"/>
      <c r="E38" s="11"/>
      <c r="F38" s="11"/>
      <c r="G38" s="78">
        <v>38433</v>
      </c>
      <c r="H38" s="78">
        <v>1749</v>
      </c>
      <c r="I38" s="78">
        <f t="shared" si="2"/>
        <v>40182</v>
      </c>
      <c r="J38" s="90">
        <v>1.124</v>
      </c>
      <c r="K38" s="79">
        <v>1.064</v>
      </c>
      <c r="L38" s="78">
        <f t="shared" si="0"/>
        <v>47407</v>
      </c>
      <c r="M38" s="9">
        <f t="shared" si="3"/>
        <v>0</v>
      </c>
      <c r="N38" s="9">
        <f t="shared" si="4"/>
        <v>0</v>
      </c>
      <c r="O38" s="9">
        <f t="shared" si="5"/>
        <v>0</v>
      </c>
      <c r="P38" s="9">
        <f t="shared" si="1"/>
        <v>0</v>
      </c>
      <c r="Q38" s="80">
        <v>0.81</v>
      </c>
      <c r="R38" s="9">
        <f t="shared" si="9"/>
        <v>0</v>
      </c>
      <c r="S38" s="9">
        <f t="shared" si="6"/>
        <v>0</v>
      </c>
      <c r="T38" s="9">
        <f t="shared" si="7"/>
        <v>0</v>
      </c>
      <c r="U38" s="9">
        <f t="shared" si="8"/>
        <v>0</v>
      </c>
    </row>
    <row r="39" spans="1:21" s="10" customFormat="1" ht="18.75" customHeight="1">
      <c r="A39" s="84">
        <v>32</v>
      </c>
      <c r="B39" s="91" t="s">
        <v>63</v>
      </c>
      <c r="C39" s="76">
        <v>5</v>
      </c>
      <c r="D39" s="11"/>
      <c r="E39" s="11"/>
      <c r="F39" s="11"/>
      <c r="G39" s="78">
        <v>38433</v>
      </c>
      <c r="H39" s="78">
        <v>1749</v>
      </c>
      <c r="I39" s="78">
        <f t="shared" si="2"/>
        <v>40182</v>
      </c>
      <c r="J39" s="90">
        <v>1.124</v>
      </c>
      <c r="K39" s="79">
        <v>1.064</v>
      </c>
      <c r="L39" s="78">
        <f t="shared" si="0"/>
        <v>47407</v>
      </c>
      <c r="M39" s="9">
        <f t="shared" si="3"/>
        <v>0</v>
      </c>
      <c r="N39" s="9">
        <f t="shared" si="4"/>
        <v>0</v>
      </c>
      <c r="O39" s="9">
        <f t="shared" si="5"/>
        <v>0</v>
      </c>
      <c r="P39" s="9">
        <f t="shared" si="1"/>
        <v>0</v>
      </c>
      <c r="Q39" s="80">
        <v>0.901</v>
      </c>
      <c r="R39" s="9">
        <f t="shared" si="9"/>
        <v>0</v>
      </c>
      <c r="S39" s="9">
        <f t="shared" si="6"/>
        <v>0</v>
      </c>
      <c r="T39" s="9">
        <f t="shared" si="7"/>
        <v>0</v>
      </c>
      <c r="U39" s="9">
        <f t="shared" si="8"/>
        <v>0</v>
      </c>
    </row>
    <row r="40" spans="1:21" s="10" customFormat="1" ht="30.75" customHeight="1">
      <c r="A40" s="74">
        <v>33</v>
      </c>
      <c r="B40" s="91" t="s">
        <v>64</v>
      </c>
      <c r="C40" s="76">
        <v>5</v>
      </c>
      <c r="D40" s="11">
        <v>6</v>
      </c>
      <c r="E40" s="11"/>
      <c r="F40" s="11"/>
      <c r="G40" s="78">
        <v>38433</v>
      </c>
      <c r="H40" s="78">
        <v>1749</v>
      </c>
      <c r="I40" s="78">
        <f t="shared" si="2"/>
        <v>40182</v>
      </c>
      <c r="J40" s="90">
        <v>1.124</v>
      </c>
      <c r="K40" s="79">
        <v>1.064</v>
      </c>
      <c r="L40" s="78">
        <f t="shared" si="0"/>
        <v>47407</v>
      </c>
      <c r="M40" s="9">
        <f t="shared" si="3"/>
        <v>94.8</v>
      </c>
      <c r="N40" s="9">
        <f t="shared" si="4"/>
        <v>0</v>
      </c>
      <c r="O40" s="9">
        <f t="shared" si="5"/>
        <v>0</v>
      </c>
      <c r="P40" s="9">
        <f t="shared" si="1"/>
        <v>94.8</v>
      </c>
      <c r="Q40" s="80">
        <v>0.899</v>
      </c>
      <c r="R40" s="9">
        <f>ROUND(M40*Q40,1)-2.7</f>
        <v>82.5</v>
      </c>
      <c r="S40" s="9">
        <f t="shared" si="6"/>
        <v>0</v>
      </c>
      <c r="T40" s="9">
        <f t="shared" si="7"/>
        <v>0</v>
      </c>
      <c r="U40" s="9">
        <f t="shared" si="8"/>
        <v>82.5</v>
      </c>
    </row>
    <row r="41" spans="1:21" s="10" customFormat="1" ht="29.25" customHeight="1">
      <c r="A41" s="84">
        <v>34</v>
      </c>
      <c r="B41" s="91" t="s">
        <v>65</v>
      </c>
      <c r="C41" s="76">
        <v>5</v>
      </c>
      <c r="D41" s="11">
        <v>1</v>
      </c>
      <c r="E41" s="11">
        <v>1</v>
      </c>
      <c r="F41" s="11"/>
      <c r="G41" s="78">
        <v>38433</v>
      </c>
      <c r="H41" s="78">
        <v>1749</v>
      </c>
      <c r="I41" s="78">
        <f t="shared" si="2"/>
        <v>40182</v>
      </c>
      <c r="J41" s="90">
        <v>1.124</v>
      </c>
      <c r="K41" s="79">
        <v>1.064</v>
      </c>
      <c r="L41" s="78">
        <f t="shared" si="0"/>
        <v>47407</v>
      </c>
      <c r="M41" s="9">
        <f t="shared" si="3"/>
        <v>15.8</v>
      </c>
      <c r="N41" s="9">
        <f t="shared" si="4"/>
        <v>15.8</v>
      </c>
      <c r="O41" s="9">
        <f t="shared" si="5"/>
        <v>0</v>
      </c>
      <c r="P41" s="9">
        <f t="shared" si="1"/>
        <v>31.6</v>
      </c>
      <c r="Q41" s="80">
        <v>0.938</v>
      </c>
      <c r="R41" s="9">
        <f>ROUND(M41*Q41,1)+0.7</f>
        <v>15.5</v>
      </c>
      <c r="S41" s="9">
        <f t="shared" si="6"/>
        <v>14.8</v>
      </c>
      <c r="T41" s="9">
        <f t="shared" si="7"/>
        <v>0</v>
      </c>
      <c r="U41" s="9">
        <f t="shared" si="8"/>
        <v>30.3</v>
      </c>
    </row>
    <row r="42" spans="1:21" s="10" customFormat="1" ht="29.25" customHeight="1">
      <c r="A42" s="74">
        <v>35</v>
      </c>
      <c r="B42" s="91" t="s">
        <v>66</v>
      </c>
      <c r="C42" s="76">
        <v>5</v>
      </c>
      <c r="D42" s="11">
        <v>2</v>
      </c>
      <c r="E42" s="11"/>
      <c r="F42" s="11"/>
      <c r="G42" s="78">
        <v>38433</v>
      </c>
      <c r="H42" s="78">
        <v>1749</v>
      </c>
      <c r="I42" s="78">
        <f t="shared" si="2"/>
        <v>40182</v>
      </c>
      <c r="J42" s="90">
        <v>1.124</v>
      </c>
      <c r="K42" s="79">
        <v>1.064</v>
      </c>
      <c r="L42" s="78">
        <f t="shared" si="0"/>
        <v>47407</v>
      </c>
      <c r="M42" s="9">
        <f t="shared" si="3"/>
        <v>31.6</v>
      </c>
      <c r="N42" s="9">
        <f t="shared" si="4"/>
        <v>0</v>
      </c>
      <c r="O42" s="9">
        <f t="shared" si="5"/>
        <v>0</v>
      </c>
      <c r="P42" s="9">
        <f t="shared" si="1"/>
        <v>31.6</v>
      </c>
      <c r="Q42" s="80">
        <v>1.01</v>
      </c>
      <c r="R42" s="9">
        <f>ROUND(M42*Q42,1)-0.7</f>
        <v>31.2</v>
      </c>
      <c r="S42" s="9">
        <f t="shared" si="6"/>
        <v>0</v>
      </c>
      <c r="T42" s="9">
        <f t="shared" si="7"/>
        <v>0</v>
      </c>
      <c r="U42" s="9">
        <f t="shared" si="8"/>
        <v>31.2</v>
      </c>
    </row>
    <row r="43" spans="1:21" s="10" customFormat="1" ht="47.25">
      <c r="A43" s="84">
        <v>36</v>
      </c>
      <c r="B43" s="91" t="s">
        <v>67</v>
      </c>
      <c r="C43" s="76">
        <v>5</v>
      </c>
      <c r="D43" s="11"/>
      <c r="E43" s="11"/>
      <c r="F43" s="11"/>
      <c r="G43" s="78">
        <v>38433</v>
      </c>
      <c r="H43" s="78">
        <v>1749</v>
      </c>
      <c r="I43" s="78">
        <f t="shared" si="2"/>
        <v>40182</v>
      </c>
      <c r="J43" s="90">
        <v>1.124</v>
      </c>
      <c r="K43" s="79">
        <v>1.064</v>
      </c>
      <c r="L43" s="78">
        <f t="shared" si="0"/>
        <v>47407</v>
      </c>
      <c r="M43" s="9">
        <f t="shared" si="3"/>
        <v>0</v>
      </c>
      <c r="N43" s="9">
        <f t="shared" si="4"/>
        <v>0</v>
      </c>
      <c r="O43" s="9">
        <f t="shared" si="5"/>
        <v>0</v>
      </c>
      <c r="P43" s="9">
        <f t="shared" si="1"/>
        <v>0</v>
      </c>
      <c r="Q43" s="80">
        <v>0.925</v>
      </c>
      <c r="R43" s="9">
        <f t="shared" si="9"/>
        <v>0</v>
      </c>
      <c r="S43" s="9">
        <f t="shared" si="6"/>
        <v>0</v>
      </c>
      <c r="T43" s="9">
        <f t="shared" si="7"/>
        <v>0</v>
      </c>
      <c r="U43" s="9">
        <f t="shared" si="8"/>
        <v>0</v>
      </c>
    </row>
    <row r="44" spans="1:21" s="10" customFormat="1" ht="32.25" thickBot="1">
      <c r="A44" s="74">
        <v>37</v>
      </c>
      <c r="B44" s="93" t="s">
        <v>68</v>
      </c>
      <c r="C44" s="76">
        <v>5</v>
      </c>
      <c r="D44" s="101">
        <v>1</v>
      </c>
      <c r="E44" s="11"/>
      <c r="F44" s="11"/>
      <c r="G44" s="78">
        <v>38433</v>
      </c>
      <c r="H44" s="78">
        <v>1749</v>
      </c>
      <c r="I44" s="78">
        <f t="shared" si="2"/>
        <v>40182</v>
      </c>
      <c r="J44" s="90">
        <v>1.124</v>
      </c>
      <c r="K44" s="79">
        <v>1.064</v>
      </c>
      <c r="L44" s="78">
        <f t="shared" si="0"/>
        <v>47407</v>
      </c>
      <c r="M44" s="9">
        <f t="shared" si="3"/>
        <v>15.8</v>
      </c>
      <c r="N44" s="9">
        <f t="shared" si="4"/>
        <v>0</v>
      </c>
      <c r="O44" s="9">
        <f t="shared" si="5"/>
        <v>0</v>
      </c>
      <c r="P44" s="9">
        <f t="shared" si="1"/>
        <v>15.8</v>
      </c>
      <c r="Q44" s="80">
        <v>0.753</v>
      </c>
      <c r="R44" s="9">
        <f>ROUND(M44*Q44,1)+1</f>
        <v>12.9</v>
      </c>
      <c r="S44" s="9">
        <f t="shared" si="6"/>
        <v>0</v>
      </c>
      <c r="T44" s="9">
        <f t="shared" si="7"/>
        <v>0</v>
      </c>
      <c r="U44" s="9">
        <f t="shared" si="8"/>
        <v>12.9</v>
      </c>
    </row>
    <row r="45" spans="1:21" s="10" customFormat="1" ht="16.5" thickBot="1">
      <c r="A45" s="95"/>
      <c r="B45" s="96" t="s">
        <v>69</v>
      </c>
      <c r="C45" s="97"/>
      <c r="D45" s="98">
        <f>SUM(D8:D44)</f>
        <v>94</v>
      </c>
      <c r="E45" s="98">
        <f>SUM(E8:E44)</f>
        <v>2</v>
      </c>
      <c r="F45" s="98">
        <f>SUM(F8:F44)</f>
        <v>2</v>
      </c>
      <c r="G45" s="12"/>
      <c r="H45" s="12"/>
      <c r="I45" s="12"/>
      <c r="J45" s="12"/>
      <c r="K45" s="12"/>
      <c r="L45" s="12"/>
      <c r="M45" s="9">
        <f>SUM(M8:M44)</f>
        <v>1404.2999999999995</v>
      </c>
      <c r="N45" s="9">
        <f>SUM(N8:N44)</f>
        <v>31.6</v>
      </c>
      <c r="O45" s="9">
        <f>SUM(O8:O44)</f>
        <v>31.6</v>
      </c>
      <c r="P45" s="9">
        <f>SUM(P8:P44)</f>
        <v>1467.499999999999</v>
      </c>
      <c r="Q45" s="40"/>
      <c r="R45" s="9">
        <f>SUM(R8:R44)</f>
        <v>1330.7</v>
      </c>
      <c r="S45" s="9">
        <f>SUM(S8:S44)</f>
        <v>28.9</v>
      </c>
      <c r="T45" s="9">
        <f>SUM(T8:T44)</f>
        <v>30.4</v>
      </c>
      <c r="U45" s="9">
        <f>SUM(U8:U44)</f>
        <v>1390</v>
      </c>
    </row>
    <row r="46" spans="1:18" s="3" customFormat="1" ht="18" customHeight="1">
      <c r="A46" s="13"/>
      <c r="B46" s="14"/>
      <c r="C46" s="14"/>
      <c r="D46" s="15"/>
      <c r="E46" s="14"/>
      <c r="F46" s="14"/>
      <c r="G46" s="16"/>
      <c r="H46" s="16"/>
      <c r="I46" s="16"/>
      <c r="J46" s="17"/>
      <c r="K46" s="17"/>
      <c r="L46" s="17"/>
      <c r="P46" s="18"/>
      <c r="Q46" s="4"/>
      <c r="R46" s="4"/>
    </row>
    <row r="47" spans="1:18" s="3" customFormat="1" ht="15.75">
      <c r="A47" s="19"/>
      <c r="B47" s="20"/>
      <c r="C47" s="20"/>
      <c r="D47" s="21"/>
      <c r="E47" s="21"/>
      <c r="F47" s="21"/>
      <c r="G47" s="21"/>
      <c r="H47" s="21"/>
      <c r="I47" s="21"/>
      <c r="J47" s="21"/>
      <c r="K47" s="21"/>
      <c r="L47" s="21"/>
      <c r="Q47" s="4"/>
      <c r="R47" s="4"/>
    </row>
    <row r="48" spans="1:18" s="3" customFormat="1" ht="15.75">
      <c r="A48" s="19"/>
      <c r="B48" s="20"/>
      <c r="C48" s="20"/>
      <c r="D48" s="21"/>
      <c r="E48" s="21"/>
      <c r="F48" s="21"/>
      <c r="G48" s="21"/>
      <c r="H48" s="21"/>
      <c r="I48" s="21"/>
      <c r="J48" s="21"/>
      <c r="K48" s="21"/>
      <c r="L48" s="21"/>
      <c r="Q48" s="4"/>
      <c r="R48" s="4"/>
    </row>
    <row r="49" spans="1:18" s="3" customFormat="1" ht="15.75">
      <c r="A49" s="19"/>
      <c r="B49" s="20"/>
      <c r="C49" s="20"/>
      <c r="D49" s="21"/>
      <c r="E49" s="21"/>
      <c r="F49" s="21"/>
      <c r="G49" s="21"/>
      <c r="H49" s="21"/>
      <c r="I49" s="21"/>
      <c r="J49" s="21"/>
      <c r="K49" s="21"/>
      <c r="L49" s="21"/>
      <c r="Q49" s="4"/>
      <c r="R49" s="4"/>
    </row>
    <row r="50" spans="1:18" s="3" customFormat="1" ht="15.75">
      <c r="A50" s="19"/>
      <c r="B50" s="20"/>
      <c r="C50" s="20"/>
      <c r="D50" s="21"/>
      <c r="E50" s="21"/>
      <c r="F50" s="21"/>
      <c r="G50" s="21"/>
      <c r="H50" s="21"/>
      <c r="I50" s="21"/>
      <c r="J50" s="21"/>
      <c r="K50" s="21"/>
      <c r="L50" s="21"/>
      <c r="Q50" s="4"/>
      <c r="R50" s="4"/>
    </row>
    <row r="51" spans="1:18" s="3" customFormat="1" ht="15.75">
      <c r="A51" s="19"/>
      <c r="B51" s="22"/>
      <c r="C51" s="22"/>
      <c r="D51" s="21"/>
      <c r="E51" s="21"/>
      <c r="F51" s="21"/>
      <c r="G51" s="21"/>
      <c r="H51" s="21"/>
      <c r="I51" s="21"/>
      <c r="J51" s="21"/>
      <c r="K51" s="21"/>
      <c r="L51" s="21"/>
      <c r="Q51" s="4"/>
      <c r="R51" s="4"/>
    </row>
    <row r="52" spans="1:18" s="3" customFormat="1" ht="15.75">
      <c r="A52" s="19"/>
      <c r="B52" s="22"/>
      <c r="C52" s="22"/>
      <c r="D52" s="21"/>
      <c r="E52" s="21"/>
      <c r="F52" s="21"/>
      <c r="G52" s="21"/>
      <c r="H52" s="21"/>
      <c r="I52" s="21"/>
      <c r="J52" s="21"/>
      <c r="K52" s="21"/>
      <c r="L52" s="21"/>
      <c r="Q52" s="4"/>
      <c r="R52" s="4"/>
    </row>
    <row r="53" spans="1:18" s="3" customFormat="1" ht="16.5" customHeight="1">
      <c r="A53" s="19"/>
      <c r="B53" s="20"/>
      <c r="C53" s="20"/>
      <c r="D53" s="21"/>
      <c r="E53" s="21"/>
      <c r="F53" s="21"/>
      <c r="G53" s="21"/>
      <c r="H53" s="21"/>
      <c r="I53" s="21"/>
      <c r="J53" s="21"/>
      <c r="K53" s="21"/>
      <c r="L53" s="21"/>
      <c r="Q53" s="4"/>
      <c r="R53" s="4"/>
    </row>
    <row r="54" spans="1:18" s="3" customFormat="1" ht="15.75">
      <c r="A54" s="19"/>
      <c r="B54" s="20"/>
      <c r="C54" s="20"/>
      <c r="D54" s="21"/>
      <c r="E54" s="21"/>
      <c r="F54" s="21"/>
      <c r="G54" s="21"/>
      <c r="H54" s="21"/>
      <c r="I54" s="21"/>
      <c r="J54" s="21"/>
      <c r="K54" s="21"/>
      <c r="L54" s="21"/>
      <c r="Q54" s="4"/>
      <c r="R54" s="4"/>
    </row>
    <row r="55" spans="1:18" s="3" customFormat="1" ht="15.75">
      <c r="A55" s="19"/>
      <c r="B55" s="20"/>
      <c r="C55" s="20"/>
      <c r="D55" s="21"/>
      <c r="E55" s="21"/>
      <c r="F55" s="21"/>
      <c r="G55" s="21"/>
      <c r="H55" s="21"/>
      <c r="I55" s="21"/>
      <c r="J55" s="21"/>
      <c r="K55" s="21"/>
      <c r="L55" s="21"/>
      <c r="Q55" s="4"/>
      <c r="R55" s="4"/>
    </row>
    <row r="56" spans="1:18" s="3" customFormat="1" ht="15.75">
      <c r="A56" s="19"/>
      <c r="B56" s="20"/>
      <c r="C56" s="20"/>
      <c r="D56" s="21"/>
      <c r="E56" s="21"/>
      <c r="F56" s="21"/>
      <c r="G56" s="21"/>
      <c r="H56" s="21"/>
      <c r="I56" s="21"/>
      <c r="J56" s="21"/>
      <c r="K56" s="21"/>
      <c r="L56" s="21"/>
      <c r="Q56" s="4"/>
      <c r="R56" s="4"/>
    </row>
    <row r="57" spans="1:18" s="3" customFormat="1" ht="15.75">
      <c r="A57" s="19"/>
      <c r="B57" s="20"/>
      <c r="C57" s="20"/>
      <c r="D57" s="21"/>
      <c r="E57" s="21"/>
      <c r="F57" s="21"/>
      <c r="G57" s="21"/>
      <c r="H57" s="21"/>
      <c r="I57" s="21"/>
      <c r="J57" s="21"/>
      <c r="K57" s="21"/>
      <c r="L57" s="21"/>
      <c r="Q57" s="4"/>
      <c r="R57" s="4"/>
    </row>
    <row r="58" spans="1:18" s="3" customFormat="1" ht="15.75">
      <c r="A58" s="19"/>
      <c r="B58" s="20"/>
      <c r="C58" s="20"/>
      <c r="D58" s="21"/>
      <c r="E58" s="21"/>
      <c r="F58" s="21"/>
      <c r="G58" s="21"/>
      <c r="H58" s="21"/>
      <c r="I58" s="21"/>
      <c r="J58" s="21"/>
      <c r="K58" s="21"/>
      <c r="L58" s="21"/>
      <c r="Q58" s="4"/>
      <c r="R58" s="4"/>
    </row>
    <row r="59" spans="1:18" s="3" customFormat="1" ht="15.75">
      <c r="A59" s="19"/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Q59" s="4"/>
      <c r="R59" s="4"/>
    </row>
    <row r="60" spans="1:18" s="26" customFormat="1" ht="16.5" customHeight="1">
      <c r="A60" s="119"/>
      <c r="B60" s="119"/>
      <c r="C60" s="119"/>
      <c r="D60" s="119"/>
      <c r="E60" s="119"/>
      <c r="F60" s="119"/>
      <c r="G60" s="25"/>
      <c r="H60" s="25"/>
      <c r="I60" s="25"/>
      <c r="J60" s="25"/>
      <c r="K60" s="25"/>
      <c r="L60" s="25"/>
      <c r="Q60" s="27"/>
      <c r="R60" s="27"/>
    </row>
    <row r="61" spans="1:12" ht="15.75">
      <c r="A61" s="19"/>
      <c r="B61" s="22"/>
      <c r="C61" s="22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5.75">
      <c r="A62" s="19"/>
      <c r="B62" s="22"/>
      <c r="C62" s="22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5.75">
      <c r="A63" s="19"/>
      <c r="B63" s="22"/>
      <c r="C63" s="22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5.75">
      <c r="A64" s="19"/>
      <c r="B64" s="22"/>
      <c r="C64" s="22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8" customHeight="1">
      <c r="A65" s="19"/>
      <c r="B65" s="22"/>
      <c r="C65" s="22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5.75">
      <c r="A66" s="19"/>
      <c r="B66" s="22"/>
      <c r="C66" s="22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5.75">
      <c r="A67" s="19"/>
      <c r="B67" s="22"/>
      <c r="C67" s="22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5.75">
      <c r="A68" s="19"/>
      <c r="B68" s="22"/>
      <c r="C68" s="22"/>
      <c r="D68" s="21"/>
      <c r="E68" s="21"/>
      <c r="F68" s="21"/>
      <c r="G68" s="21"/>
      <c r="H68" s="21"/>
      <c r="I68" s="21"/>
      <c r="J68" s="21"/>
      <c r="K68" s="21"/>
      <c r="L68" s="21"/>
    </row>
    <row r="69" spans="1:12" ht="15.75">
      <c r="A69" s="19"/>
      <c r="B69" s="22"/>
      <c r="C69" s="22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15.75">
      <c r="A70" s="19"/>
      <c r="B70" s="22"/>
      <c r="C70" s="22"/>
      <c r="D70" s="21"/>
      <c r="E70" s="21"/>
      <c r="F70" s="21"/>
      <c r="G70" s="21"/>
      <c r="H70" s="21"/>
      <c r="I70" s="21"/>
      <c r="J70" s="21"/>
      <c r="K70" s="21"/>
      <c r="L70" s="21"/>
    </row>
    <row r="71" spans="1:12" ht="15.75">
      <c r="A71" s="19"/>
      <c r="B71" s="20"/>
      <c r="C71" s="20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15.75">
      <c r="A72" s="19"/>
      <c r="B72" s="20"/>
      <c r="C72" s="20"/>
      <c r="D72" s="21"/>
      <c r="E72" s="21"/>
      <c r="F72" s="21"/>
      <c r="G72" s="21"/>
      <c r="H72" s="21"/>
      <c r="I72" s="21"/>
      <c r="J72" s="21"/>
      <c r="K72" s="21"/>
      <c r="L72" s="21"/>
    </row>
    <row r="73" spans="1:12" ht="15.75">
      <c r="A73" s="19"/>
      <c r="B73" s="20"/>
      <c r="C73" s="20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15.75">
      <c r="A74" s="19"/>
      <c r="B74" s="20"/>
      <c r="C74" s="20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15.75">
      <c r="A75" s="19"/>
      <c r="B75" s="20"/>
      <c r="C75" s="20"/>
      <c r="D75" s="21"/>
      <c r="E75" s="21"/>
      <c r="F75" s="21"/>
      <c r="G75" s="21"/>
      <c r="H75" s="21"/>
      <c r="I75" s="21"/>
      <c r="J75" s="21"/>
      <c r="K75" s="21"/>
      <c r="L75" s="21"/>
    </row>
    <row r="76" spans="1:12" ht="15.75">
      <c r="A76" s="19"/>
      <c r="B76" s="20"/>
      <c r="C76" s="20"/>
      <c r="D76" s="21"/>
      <c r="E76" s="21"/>
      <c r="F76" s="21"/>
      <c r="G76" s="21"/>
      <c r="H76" s="21"/>
      <c r="I76" s="21"/>
      <c r="J76" s="21"/>
      <c r="K76" s="21"/>
      <c r="L76" s="21"/>
    </row>
    <row r="77" spans="1:12" ht="15.75">
      <c r="A77" s="19"/>
      <c r="B77" s="20"/>
      <c r="C77" s="20"/>
      <c r="D77" s="21"/>
      <c r="E77" s="21"/>
      <c r="F77" s="21"/>
      <c r="G77" s="21"/>
      <c r="H77" s="21"/>
      <c r="I77" s="21"/>
      <c r="J77" s="21"/>
      <c r="K77" s="21"/>
      <c r="L77" s="21"/>
    </row>
    <row r="78" spans="1:12" ht="15.75">
      <c r="A78" s="19"/>
      <c r="B78" s="20"/>
      <c r="C78" s="20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15.75">
      <c r="A79" s="19"/>
      <c r="B79" s="20"/>
      <c r="C79" s="20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15.75">
      <c r="A80" s="19"/>
      <c r="B80" s="20"/>
      <c r="C80" s="20"/>
      <c r="D80" s="21"/>
      <c r="E80" s="21"/>
      <c r="F80" s="21"/>
      <c r="G80" s="21"/>
      <c r="H80" s="21"/>
      <c r="I80" s="21"/>
      <c r="J80" s="21"/>
      <c r="K80" s="21"/>
      <c r="L80" s="21"/>
    </row>
    <row r="81" spans="1:12" ht="15.75">
      <c r="A81" s="19"/>
      <c r="B81" s="20"/>
      <c r="C81" s="20"/>
      <c r="D81" s="21"/>
      <c r="E81" s="21"/>
      <c r="F81" s="21"/>
      <c r="G81" s="21"/>
      <c r="H81" s="21"/>
      <c r="I81" s="21"/>
      <c r="J81" s="21"/>
      <c r="K81" s="21"/>
      <c r="L81" s="21"/>
    </row>
    <row r="82" spans="1:12" ht="15.75">
      <c r="A82" s="19"/>
      <c r="B82" s="20"/>
      <c r="C82" s="20"/>
      <c r="D82" s="21"/>
      <c r="E82" s="21"/>
      <c r="F82" s="21"/>
      <c r="G82" s="21"/>
      <c r="H82" s="21"/>
      <c r="I82" s="21"/>
      <c r="J82" s="21"/>
      <c r="K82" s="21"/>
      <c r="L82" s="21"/>
    </row>
    <row r="83" spans="1:12" ht="15.75">
      <c r="A83" s="19"/>
      <c r="B83" s="20"/>
      <c r="C83" s="20"/>
      <c r="D83" s="21"/>
      <c r="E83" s="21"/>
      <c r="F83" s="21"/>
      <c r="G83" s="21"/>
      <c r="H83" s="21"/>
      <c r="I83" s="21"/>
      <c r="J83" s="21"/>
      <c r="K83" s="21"/>
      <c r="L83" s="21"/>
    </row>
    <row r="84" spans="1:12" ht="15.75">
      <c r="A84" s="19"/>
      <c r="B84" s="20"/>
      <c r="C84" s="20"/>
      <c r="D84" s="21"/>
      <c r="E84" s="21"/>
      <c r="F84" s="21"/>
      <c r="G84" s="21"/>
      <c r="H84" s="21"/>
      <c r="I84" s="21"/>
      <c r="J84" s="21"/>
      <c r="K84" s="21"/>
      <c r="L84" s="21"/>
    </row>
    <row r="85" spans="1:12" ht="15.75">
      <c r="A85" s="19"/>
      <c r="B85" s="20"/>
      <c r="C85" s="20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15.75">
      <c r="A86" s="19"/>
      <c r="B86" s="20"/>
      <c r="C86" s="20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15.75">
      <c r="A87" s="19"/>
      <c r="B87" s="20"/>
      <c r="C87" s="20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15.75">
      <c r="A88" s="19"/>
      <c r="B88" s="20"/>
      <c r="C88" s="20"/>
      <c r="D88" s="21"/>
      <c r="E88" s="21"/>
      <c r="F88" s="21"/>
      <c r="G88" s="21"/>
      <c r="H88" s="21"/>
      <c r="I88" s="21"/>
      <c r="J88" s="21"/>
      <c r="K88" s="21"/>
      <c r="L88" s="21"/>
    </row>
    <row r="89" spans="1:12" ht="15.75">
      <c r="A89" s="19"/>
      <c r="B89" s="20"/>
      <c r="C89" s="20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15.75">
      <c r="A90" s="19"/>
      <c r="B90" s="20"/>
      <c r="C90" s="20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15.75">
      <c r="A91" s="19"/>
      <c r="B91" s="20"/>
      <c r="C91" s="20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15.75">
      <c r="A92" s="19"/>
      <c r="B92" s="20"/>
      <c r="C92" s="20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5.75">
      <c r="A93" s="19"/>
      <c r="B93" s="20"/>
      <c r="C93" s="20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5.75">
      <c r="A94" s="19"/>
      <c r="B94" s="20"/>
      <c r="C94" s="20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5.75">
      <c r="A95" s="19"/>
      <c r="B95" s="20"/>
      <c r="C95" s="20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.75">
      <c r="A96" s="19"/>
      <c r="B96" s="20"/>
      <c r="C96" s="20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5.75">
      <c r="A97" s="19"/>
      <c r="B97" s="20"/>
      <c r="C97" s="20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5.75">
      <c r="A98" s="19"/>
      <c r="B98" s="20"/>
      <c r="C98" s="20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5.75">
      <c r="A99" s="19"/>
      <c r="B99" s="20"/>
      <c r="C99" s="20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5.75">
      <c r="A100" s="19"/>
      <c r="B100" s="20"/>
      <c r="C100" s="20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5.75">
      <c r="A101" s="19"/>
      <c r="B101" s="20"/>
      <c r="C101" s="20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5.75">
      <c r="A102" s="19"/>
      <c r="B102" s="20"/>
      <c r="C102" s="20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5.75">
      <c r="A103" s="19"/>
      <c r="B103" s="20"/>
      <c r="C103" s="20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5.75">
      <c r="A104" s="19"/>
      <c r="B104" s="20"/>
      <c r="C104" s="20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5.75">
      <c r="A105" s="30"/>
      <c r="B105" s="31"/>
      <c r="C105" s="31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8.75">
      <c r="A106" s="32"/>
      <c r="B106" s="32"/>
      <c r="C106" s="32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5.75">
      <c r="A107" s="30"/>
      <c r="B107" s="30"/>
      <c r="C107" s="30"/>
      <c r="D107" s="21"/>
      <c r="E107" s="21"/>
      <c r="F107" s="21"/>
      <c r="G107" s="21"/>
      <c r="H107" s="21"/>
      <c r="I107" s="21"/>
      <c r="J107" s="21"/>
      <c r="K107" s="21"/>
      <c r="L107" s="21"/>
    </row>
  </sheetData>
  <sheetProtection/>
  <mergeCells count="22">
    <mergeCell ref="R5:T5"/>
    <mergeCell ref="M5:O5"/>
    <mergeCell ref="M3:P4"/>
    <mergeCell ref="Q3:Q7"/>
    <mergeCell ref="G5:H5"/>
    <mergeCell ref="C3:C7"/>
    <mergeCell ref="J3:J7"/>
    <mergeCell ref="U5:U6"/>
    <mergeCell ref="B3:B4"/>
    <mergeCell ref="B6:B7"/>
    <mergeCell ref="D4:F4"/>
    <mergeCell ref="G3:I4"/>
    <mergeCell ref="R3:U4"/>
    <mergeCell ref="A60:F60"/>
    <mergeCell ref="K3:K7"/>
    <mergeCell ref="L3:L7"/>
    <mergeCell ref="I5:I6"/>
    <mergeCell ref="D5:F5"/>
    <mergeCell ref="C1:P1"/>
    <mergeCell ref="D3:F3"/>
    <mergeCell ref="A3:A7"/>
    <mergeCell ref="P5:P6"/>
  </mergeCells>
  <printOptions horizontalCentered="1"/>
  <pageMargins left="0" right="0" top="0.3937007874015748" bottom="0" header="0" footer="0"/>
  <pageSetup horizontalDpi="600" verticalDpi="600" orientation="landscape" paperSize="9" scale="40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7"/>
  <sheetViews>
    <sheetView view="pageBreakPreview" zoomScale="71" zoomScaleNormal="74" zoomScaleSheetLayoutView="71" zoomScalePageLayoutView="0" workbookViewId="0" topLeftCell="A1">
      <pane xSplit="2" ySplit="7" topLeftCell="V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B8" sqref="AB8:AB44"/>
    </sheetView>
  </sheetViews>
  <sheetFormatPr defaultColWidth="9.140625" defaultRowHeight="12.75"/>
  <cols>
    <col min="1" max="1" width="9.00390625" style="34" customWidth="1"/>
    <col min="2" max="2" width="28.28125" style="34" customWidth="1"/>
    <col min="3" max="3" width="14.8515625" style="34" customWidth="1"/>
    <col min="4" max="4" width="14.7109375" style="35" customWidth="1"/>
    <col min="5" max="5" width="13.7109375" style="35" customWidth="1"/>
    <col min="6" max="6" width="15.421875" style="35" bestFit="1" customWidth="1"/>
    <col min="7" max="7" width="20.421875" style="35" customWidth="1"/>
    <col min="8" max="11" width="15.421875" style="35" customWidth="1"/>
    <col min="12" max="12" width="32.7109375" style="35" customWidth="1"/>
    <col min="13" max="13" width="37.140625" style="35" customWidth="1"/>
    <col min="14" max="14" width="17.57421875" style="35" customWidth="1"/>
    <col min="15" max="15" width="29.7109375" style="35" customWidth="1"/>
    <col min="16" max="17" width="29.421875" style="35" customWidth="1"/>
    <col min="18" max="18" width="23.57421875" style="35" customWidth="1"/>
    <col min="19" max="19" width="17.28125" style="28" customWidth="1"/>
    <col min="20" max="20" width="15.140625" style="28" customWidth="1"/>
    <col min="21" max="21" width="15.00390625" style="28" customWidth="1"/>
    <col min="22" max="22" width="19.8515625" style="28" customWidth="1"/>
    <col min="23" max="23" width="19.7109375" style="28" customWidth="1"/>
    <col min="24" max="24" width="21.57421875" style="28" customWidth="1"/>
    <col min="25" max="25" width="23.140625" style="28" customWidth="1"/>
    <col min="26" max="26" width="24.140625" style="28" customWidth="1"/>
    <col min="27" max="27" width="20.421875" style="28" customWidth="1"/>
    <col min="28" max="28" width="32.7109375" style="29" customWidth="1"/>
    <col min="29" max="29" width="22.421875" style="29" customWidth="1"/>
    <col min="30" max="30" width="21.00390625" style="28" customWidth="1"/>
    <col min="31" max="31" width="20.7109375" style="28" customWidth="1"/>
    <col min="32" max="32" width="20.140625" style="28" customWidth="1"/>
    <col min="33" max="33" width="18.421875" style="28" customWidth="1"/>
    <col min="34" max="34" width="22.421875" style="28" customWidth="1"/>
    <col min="35" max="35" width="17.00390625" style="28" customWidth="1"/>
    <col min="36" max="36" width="14.140625" style="28" customWidth="1"/>
    <col min="37" max="37" width="16.8515625" style="28" customWidth="1"/>
    <col min="38" max="16384" width="9.140625" style="28" customWidth="1"/>
  </cols>
  <sheetData>
    <row r="1" spans="1:29" s="3" customFormat="1" ht="18.75" customHeight="1">
      <c r="A1" s="1"/>
      <c r="B1" s="1"/>
      <c r="C1" s="1"/>
      <c r="D1" s="133" t="s">
        <v>78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99"/>
      <c r="R1" s="2"/>
      <c r="AB1" s="4"/>
      <c r="AC1" s="4"/>
    </row>
    <row r="2" spans="1:29" s="3" customFormat="1" ht="15.75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AB2" s="4"/>
      <c r="AC2" s="4"/>
    </row>
    <row r="3" spans="1:37" s="3" customFormat="1" ht="51.75" customHeight="1">
      <c r="A3" s="106" t="s">
        <v>7</v>
      </c>
      <c r="B3" s="103" t="s">
        <v>31</v>
      </c>
      <c r="C3" s="103" t="s">
        <v>8</v>
      </c>
      <c r="D3" s="138" t="s">
        <v>10</v>
      </c>
      <c r="E3" s="139"/>
      <c r="F3" s="139"/>
      <c r="G3" s="139"/>
      <c r="H3" s="139"/>
      <c r="I3" s="139"/>
      <c r="J3" s="139"/>
      <c r="K3" s="140"/>
      <c r="L3" s="122" t="s">
        <v>18</v>
      </c>
      <c r="M3" s="123"/>
      <c r="N3" s="124"/>
      <c r="O3" s="130" t="s">
        <v>21</v>
      </c>
      <c r="P3" s="130" t="s">
        <v>28</v>
      </c>
      <c r="Q3" s="135" t="s">
        <v>70</v>
      </c>
      <c r="R3" s="130" t="s">
        <v>20</v>
      </c>
      <c r="S3" s="110" t="s">
        <v>81</v>
      </c>
      <c r="T3" s="111"/>
      <c r="U3" s="111"/>
      <c r="V3" s="111"/>
      <c r="W3" s="111"/>
      <c r="X3" s="111"/>
      <c r="Y3" s="111"/>
      <c r="Z3" s="111"/>
      <c r="AA3" s="112"/>
      <c r="AB3" s="103" t="s">
        <v>71</v>
      </c>
      <c r="AC3" s="110" t="s">
        <v>82</v>
      </c>
      <c r="AD3" s="111"/>
      <c r="AE3" s="111"/>
      <c r="AF3" s="111"/>
      <c r="AG3" s="111"/>
      <c r="AH3" s="111"/>
      <c r="AI3" s="111"/>
      <c r="AJ3" s="111"/>
      <c r="AK3" s="112"/>
    </row>
    <row r="4" spans="1:37" s="3" customFormat="1" ht="60.75" customHeight="1">
      <c r="A4" s="107"/>
      <c r="B4" s="104"/>
      <c r="C4" s="104"/>
      <c r="D4" s="142" t="s">
        <v>75</v>
      </c>
      <c r="E4" s="142"/>
      <c r="F4" s="142"/>
      <c r="G4" s="142"/>
      <c r="H4" s="142"/>
      <c r="I4" s="142"/>
      <c r="J4" s="142"/>
      <c r="K4" s="142"/>
      <c r="L4" s="125"/>
      <c r="M4" s="126"/>
      <c r="N4" s="127"/>
      <c r="O4" s="131"/>
      <c r="P4" s="131"/>
      <c r="Q4" s="141"/>
      <c r="R4" s="131"/>
      <c r="S4" s="113"/>
      <c r="T4" s="114"/>
      <c r="U4" s="114"/>
      <c r="V4" s="114"/>
      <c r="W4" s="114"/>
      <c r="X4" s="114"/>
      <c r="Y4" s="114"/>
      <c r="Z4" s="114"/>
      <c r="AA4" s="115"/>
      <c r="AB4" s="104"/>
      <c r="AC4" s="113"/>
      <c r="AD4" s="114"/>
      <c r="AE4" s="114"/>
      <c r="AF4" s="114"/>
      <c r="AG4" s="114"/>
      <c r="AH4" s="114"/>
      <c r="AI4" s="114"/>
      <c r="AJ4" s="114"/>
      <c r="AK4" s="115"/>
    </row>
    <row r="5" spans="1:37" s="3" customFormat="1" ht="36.75" customHeight="1">
      <c r="A5" s="107"/>
      <c r="B5" s="70"/>
      <c r="C5" s="104"/>
      <c r="D5" s="116" t="s">
        <v>24</v>
      </c>
      <c r="E5" s="117"/>
      <c r="F5" s="117"/>
      <c r="G5" s="117"/>
      <c r="H5" s="116" t="s">
        <v>26</v>
      </c>
      <c r="I5" s="117"/>
      <c r="J5" s="117"/>
      <c r="K5" s="117"/>
      <c r="L5" s="120" t="s">
        <v>17</v>
      </c>
      <c r="M5" s="121"/>
      <c r="N5" s="135" t="s">
        <v>6</v>
      </c>
      <c r="O5" s="131"/>
      <c r="P5" s="131"/>
      <c r="Q5" s="141"/>
      <c r="R5" s="131"/>
      <c r="S5" s="109" t="s">
        <v>24</v>
      </c>
      <c r="T5" s="109"/>
      <c r="U5" s="109"/>
      <c r="V5" s="109"/>
      <c r="W5" s="109" t="s">
        <v>29</v>
      </c>
      <c r="X5" s="109"/>
      <c r="Y5" s="109"/>
      <c r="Z5" s="109"/>
      <c r="AA5" s="118" t="s">
        <v>6</v>
      </c>
      <c r="AB5" s="104"/>
      <c r="AC5" s="109" t="s">
        <v>24</v>
      </c>
      <c r="AD5" s="109"/>
      <c r="AE5" s="109"/>
      <c r="AF5" s="109"/>
      <c r="AG5" s="109" t="s">
        <v>29</v>
      </c>
      <c r="AH5" s="109"/>
      <c r="AI5" s="109"/>
      <c r="AJ5" s="109"/>
      <c r="AK5" s="118" t="s">
        <v>6</v>
      </c>
    </row>
    <row r="6" spans="1:37" s="3" customFormat="1" ht="269.25" customHeight="1">
      <c r="A6" s="107"/>
      <c r="B6" s="118" t="s">
        <v>9</v>
      </c>
      <c r="C6" s="104"/>
      <c r="D6" s="8" t="s">
        <v>2</v>
      </c>
      <c r="E6" s="36" t="s">
        <v>4</v>
      </c>
      <c r="F6" s="8" t="s">
        <v>1</v>
      </c>
      <c r="G6" s="8" t="s">
        <v>23</v>
      </c>
      <c r="H6" s="8" t="s">
        <v>27</v>
      </c>
      <c r="I6" s="8" t="s">
        <v>23</v>
      </c>
      <c r="J6" s="8" t="s">
        <v>16</v>
      </c>
      <c r="K6" s="36" t="s">
        <v>4</v>
      </c>
      <c r="L6" s="71" t="s">
        <v>19</v>
      </c>
      <c r="M6" s="71" t="s">
        <v>80</v>
      </c>
      <c r="N6" s="136"/>
      <c r="O6" s="131"/>
      <c r="P6" s="131"/>
      <c r="Q6" s="141"/>
      <c r="R6" s="131"/>
      <c r="S6" s="8" t="s">
        <v>2</v>
      </c>
      <c r="T6" s="36" t="s">
        <v>4</v>
      </c>
      <c r="U6" s="8" t="s">
        <v>1</v>
      </c>
      <c r="V6" s="8" t="s">
        <v>23</v>
      </c>
      <c r="W6" s="8" t="s">
        <v>27</v>
      </c>
      <c r="X6" s="8" t="s">
        <v>23</v>
      </c>
      <c r="Y6" s="8" t="s">
        <v>16</v>
      </c>
      <c r="Z6" s="36" t="s">
        <v>4</v>
      </c>
      <c r="AA6" s="118"/>
      <c r="AB6" s="104"/>
      <c r="AC6" s="8" t="s">
        <v>2</v>
      </c>
      <c r="AD6" s="36" t="s">
        <v>4</v>
      </c>
      <c r="AE6" s="8" t="s">
        <v>1</v>
      </c>
      <c r="AF6" s="8" t="s">
        <v>23</v>
      </c>
      <c r="AG6" s="8" t="s">
        <v>27</v>
      </c>
      <c r="AH6" s="8" t="s">
        <v>23</v>
      </c>
      <c r="AI6" s="8" t="s">
        <v>16</v>
      </c>
      <c r="AJ6" s="36" t="s">
        <v>4</v>
      </c>
      <c r="AK6" s="118"/>
    </row>
    <row r="7" spans="1:37" s="3" customFormat="1" ht="44.25" customHeight="1">
      <c r="A7" s="108"/>
      <c r="B7" s="118"/>
      <c r="C7" s="105"/>
      <c r="D7" s="8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  <c r="J7" s="8" t="s">
        <v>5</v>
      </c>
      <c r="K7" s="36" t="s">
        <v>5</v>
      </c>
      <c r="L7" s="7" t="s">
        <v>13</v>
      </c>
      <c r="M7" s="7" t="s">
        <v>13</v>
      </c>
      <c r="N7" s="7" t="s">
        <v>13</v>
      </c>
      <c r="O7" s="132"/>
      <c r="P7" s="132"/>
      <c r="Q7" s="136"/>
      <c r="R7" s="39" t="s">
        <v>13</v>
      </c>
      <c r="S7" s="8" t="s">
        <v>14</v>
      </c>
      <c r="T7" s="8" t="s">
        <v>14</v>
      </c>
      <c r="U7" s="8" t="s">
        <v>14</v>
      </c>
      <c r="V7" s="8" t="s">
        <v>14</v>
      </c>
      <c r="W7" s="8" t="s">
        <v>14</v>
      </c>
      <c r="X7" s="8" t="s">
        <v>14</v>
      </c>
      <c r="Y7" s="8" t="s">
        <v>14</v>
      </c>
      <c r="Z7" s="8" t="s">
        <v>14</v>
      </c>
      <c r="AA7" s="8" t="s">
        <v>14</v>
      </c>
      <c r="AB7" s="105"/>
      <c r="AC7" s="8" t="s">
        <v>14</v>
      </c>
      <c r="AD7" s="8" t="s">
        <v>14</v>
      </c>
      <c r="AE7" s="8" t="s">
        <v>14</v>
      </c>
      <c r="AF7" s="8" t="s">
        <v>14</v>
      </c>
      <c r="AG7" s="8" t="s">
        <v>14</v>
      </c>
      <c r="AH7" s="8" t="s">
        <v>14</v>
      </c>
      <c r="AI7" s="8" t="s">
        <v>14</v>
      </c>
      <c r="AJ7" s="8" t="s">
        <v>14</v>
      </c>
      <c r="AK7" s="8" t="s">
        <v>14</v>
      </c>
    </row>
    <row r="8" spans="1:37" s="10" customFormat="1" ht="18" customHeight="1">
      <c r="A8" s="74">
        <v>1</v>
      </c>
      <c r="B8" s="75" t="s">
        <v>32</v>
      </c>
      <c r="C8" s="76">
        <v>5</v>
      </c>
      <c r="D8" s="77"/>
      <c r="E8" s="77"/>
      <c r="F8" s="77"/>
      <c r="G8" s="77"/>
      <c r="H8" s="77"/>
      <c r="I8" s="77">
        <v>7</v>
      </c>
      <c r="J8" s="77"/>
      <c r="K8" s="77">
        <v>1</v>
      </c>
      <c r="L8" s="78">
        <v>38433</v>
      </c>
      <c r="M8" s="78">
        <v>1749</v>
      </c>
      <c r="N8" s="78">
        <f>SUM(L8:M8)</f>
        <v>40182</v>
      </c>
      <c r="O8" s="79">
        <v>1</v>
      </c>
      <c r="P8" s="79">
        <v>10.545</v>
      </c>
      <c r="Q8" s="79">
        <v>0.258</v>
      </c>
      <c r="R8" s="78">
        <f>ROUND(L8*(O8-1)+L8+L8*(P8-1)+M8*Q8,0)</f>
        <v>405727</v>
      </c>
      <c r="S8" s="9">
        <f>ROUND(D8*R8/1000/12*4,1)</f>
        <v>0</v>
      </c>
      <c r="T8" s="9">
        <f>ROUND(E8*R8/1000/12*4,1)</f>
        <v>0</v>
      </c>
      <c r="U8" s="9">
        <f>ROUND(F8*R8/1000/12*4,1)</f>
        <v>0</v>
      </c>
      <c r="V8" s="9">
        <f>ROUND(G8*R8/1000/12*4,1)</f>
        <v>0</v>
      </c>
      <c r="W8" s="9">
        <f>ROUND(H8*R8/1000/12*4,1)</f>
        <v>0</v>
      </c>
      <c r="X8" s="9">
        <f>ROUND(I8*R8/1000/12*4,1)</f>
        <v>946.7</v>
      </c>
      <c r="Y8" s="9">
        <f>ROUND(J8*R8/1000/12*4,1)</f>
        <v>0</v>
      </c>
      <c r="Z8" s="9">
        <f>ROUND(K8*R8/1000/12*4,1)</f>
        <v>135.2</v>
      </c>
      <c r="AA8" s="9">
        <f>SUM(S8:Z8)</f>
        <v>1081.9</v>
      </c>
      <c r="AB8" s="80">
        <v>0.866</v>
      </c>
      <c r="AC8" s="9">
        <f>ROUND(S8*AB8,1)</f>
        <v>0</v>
      </c>
      <c r="AD8" s="9">
        <f>ROUND(T8*AB8,1)</f>
        <v>0</v>
      </c>
      <c r="AE8" s="9">
        <f>ROUND(U8*AB8,1)</f>
        <v>0</v>
      </c>
      <c r="AF8" s="9">
        <f>ROUND(V8*AB8,1)</f>
        <v>0</v>
      </c>
      <c r="AG8" s="9">
        <f>ROUND(W8*AB8,1)</f>
        <v>0</v>
      </c>
      <c r="AH8" s="9">
        <f>ROUND(X8*AB8,1)</f>
        <v>819.8</v>
      </c>
      <c r="AI8" s="9">
        <f>ROUND(Y8*AB8,1)</f>
        <v>0</v>
      </c>
      <c r="AJ8" s="9">
        <f>ROUND(Z8*AB8,1)</f>
        <v>117.1</v>
      </c>
      <c r="AK8" s="9">
        <f>SUM(AC8:AJ8)</f>
        <v>936.9</v>
      </c>
    </row>
    <row r="9" spans="1:37" s="10" customFormat="1" ht="15.75">
      <c r="A9" s="84">
        <v>2</v>
      </c>
      <c r="B9" s="75" t="s">
        <v>33</v>
      </c>
      <c r="C9" s="76">
        <v>5</v>
      </c>
      <c r="D9" s="11"/>
      <c r="E9" s="11"/>
      <c r="F9" s="11"/>
      <c r="G9" s="11"/>
      <c r="H9" s="11">
        <v>2</v>
      </c>
      <c r="I9" s="11"/>
      <c r="J9" s="11"/>
      <c r="K9" s="11"/>
      <c r="L9" s="78">
        <v>38433</v>
      </c>
      <c r="M9" s="78">
        <v>1749</v>
      </c>
      <c r="N9" s="78">
        <f aca="true" t="shared" si="0" ref="N9:N44">SUM(L9:M9)</f>
        <v>40182</v>
      </c>
      <c r="O9" s="79">
        <v>1</v>
      </c>
      <c r="P9" s="79">
        <v>10.545</v>
      </c>
      <c r="Q9" s="79">
        <v>0.258</v>
      </c>
      <c r="R9" s="78">
        <f aca="true" t="shared" si="1" ref="R9:R44">ROUND(L9*(O9-1)+L9+L9*(P9-1)+M9*Q9,0)</f>
        <v>405727</v>
      </c>
      <c r="S9" s="9">
        <f aca="true" t="shared" si="2" ref="S9:S44">ROUND(D9*R9/1000/12*4,1)</f>
        <v>0</v>
      </c>
      <c r="T9" s="9">
        <f aca="true" t="shared" si="3" ref="T9:T44">ROUND(E9*R9/1000/12*4,1)</f>
        <v>0</v>
      </c>
      <c r="U9" s="9">
        <f aca="true" t="shared" si="4" ref="U9:U44">ROUND(F9*R9/1000/12*4,1)</f>
        <v>0</v>
      </c>
      <c r="V9" s="9">
        <f aca="true" t="shared" si="5" ref="V9:V44">ROUND(G9*R9/1000/12*4,1)</f>
        <v>0</v>
      </c>
      <c r="W9" s="9">
        <f aca="true" t="shared" si="6" ref="W9:W44">ROUND(H9*R9/1000/12*4,1)</f>
        <v>270.5</v>
      </c>
      <c r="X9" s="9">
        <f aca="true" t="shared" si="7" ref="X9:X44">ROUND(I9*R9/1000/12*4,1)</f>
        <v>0</v>
      </c>
      <c r="Y9" s="9">
        <f aca="true" t="shared" si="8" ref="Y9:Y44">ROUND(J9*R9/1000/12*4,1)</f>
        <v>0</v>
      </c>
      <c r="Z9" s="9">
        <f aca="true" t="shared" si="9" ref="Z9:Z44">ROUND(K9*R9/1000/12*4,1)</f>
        <v>0</v>
      </c>
      <c r="AA9" s="9">
        <f aca="true" t="shared" si="10" ref="AA9:AA44">SUM(S9:Z9)</f>
        <v>270.5</v>
      </c>
      <c r="AB9" s="80">
        <v>0.906</v>
      </c>
      <c r="AC9" s="9">
        <f aca="true" t="shared" si="11" ref="AC9:AC44">ROUND(S9*AB9,1)</f>
        <v>0</v>
      </c>
      <c r="AD9" s="9">
        <f aca="true" t="shared" si="12" ref="AD9:AD44">ROUND(T9*AB9,1)</f>
        <v>0</v>
      </c>
      <c r="AE9" s="9">
        <f aca="true" t="shared" si="13" ref="AE9:AE44">ROUND(U9*AB9,1)</f>
        <v>0</v>
      </c>
      <c r="AF9" s="9">
        <f aca="true" t="shared" si="14" ref="AF9:AF44">ROUND(V9*AB9,1)</f>
        <v>0</v>
      </c>
      <c r="AG9" s="9">
        <f aca="true" t="shared" si="15" ref="AG9:AG44">ROUND(W9*AB9,1)</f>
        <v>245.1</v>
      </c>
      <c r="AH9" s="9">
        <f aca="true" t="shared" si="16" ref="AH9:AH44">ROUND(X9*AB9,1)</f>
        <v>0</v>
      </c>
      <c r="AI9" s="9">
        <f aca="true" t="shared" si="17" ref="AI9:AI44">ROUND(Y9*AB9,1)</f>
        <v>0</v>
      </c>
      <c r="AJ9" s="9">
        <f aca="true" t="shared" si="18" ref="AJ9:AJ44">ROUND(Z9*AB9,1)</f>
        <v>0</v>
      </c>
      <c r="AK9" s="9">
        <f aca="true" t="shared" si="19" ref="AK9:AK44">SUM(AC9:AJ9)</f>
        <v>245.1</v>
      </c>
    </row>
    <row r="10" spans="1:37" s="10" customFormat="1" ht="15.75">
      <c r="A10" s="74">
        <v>3</v>
      </c>
      <c r="B10" s="75" t="s">
        <v>34</v>
      </c>
      <c r="C10" s="76">
        <v>5</v>
      </c>
      <c r="D10" s="11"/>
      <c r="E10" s="11"/>
      <c r="F10" s="11"/>
      <c r="G10" s="11"/>
      <c r="H10" s="11">
        <v>1</v>
      </c>
      <c r="I10" s="11"/>
      <c r="J10" s="11"/>
      <c r="K10" s="11">
        <v>2</v>
      </c>
      <c r="L10" s="78">
        <v>38433</v>
      </c>
      <c r="M10" s="78">
        <v>1749</v>
      </c>
      <c r="N10" s="78">
        <f t="shared" si="0"/>
        <v>40182</v>
      </c>
      <c r="O10" s="79">
        <v>1</v>
      </c>
      <c r="P10" s="79">
        <v>10.545</v>
      </c>
      <c r="Q10" s="79">
        <v>0.258</v>
      </c>
      <c r="R10" s="78">
        <f t="shared" si="1"/>
        <v>405727</v>
      </c>
      <c r="S10" s="9">
        <f t="shared" si="2"/>
        <v>0</v>
      </c>
      <c r="T10" s="9">
        <f t="shared" si="3"/>
        <v>0</v>
      </c>
      <c r="U10" s="9">
        <f t="shared" si="4"/>
        <v>0</v>
      </c>
      <c r="V10" s="9">
        <f t="shared" si="5"/>
        <v>0</v>
      </c>
      <c r="W10" s="9">
        <f t="shared" si="6"/>
        <v>135.2</v>
      </c>
      <c r="X10" s="9">
        <f t="shared" si="7"/>
        <v>0</v>
      </c>
      <c r="Y10" s="9">
        <f t="shared" si="8"/>
        <v>0</v>
      </c>
      <c r="Z10" s="9">
        <f t="shared" si="9"/>
        <v>270.5</v>
      </c>
      <c r="AA10" s="9">
        <f t="shared" si="10"/>
        <v>405.7</v>
      </c>
      <c r="AB10" s="80">
        <v>0.922</v>
      </c>
      <c r="AC10" s="9">
        <f t="shared" si="11"/>
        <v>0</v>
      </c>
      <c r="AD10" s="9">
        <f t="shared" si="12"/>
        <v>0</v>
      </c>
      <c r="AE10" s="9">
        <f t="shared" si="13"/>
        <v>0</v>
      </c>
      <c r="AF10" s="9">
        <f t="shared" si="14"/>
        <v>0</v>
      </c>
      <c r="AG10" s="9">
        <f t="shared" si="15"/>
        <v>124.7</v>
      </c>
      <c r="AH10" s="9">
        <f t="shared" si="16"/>
        <v>0</v>
      </c>
      <c r="AI10" s="9">
        <f t="shared" si="17"/>
        <v>0</v>
      </c>
      <c r="AJ10" s="9">
        <f t="shared" si="18"/>
        <v>249.4</v>
      </c>
      <c r="AK10" s="9">
        <f t="shared" si="19"/>
        <v>374.1</v>
      </c>
    </row>
    <row r="11" spans="1:37" s="10" customFormat="1" ht="15.75">
      <c r="A11" s="84">
        <v>4</v>
      </c>
      <c r="B11" s="75" t="s">
        <v>35</v>
      </c>
      <c r="C11" s="76">
        <v>5</v>
      </c>
      <c r="D11" s="85"/>
      <c r="E11" s="85"/>
      <c r="F11" s="85"/>
      <c r="G11" s="85"/>
      <c r="H11" s="85">
        <v>1</v>
      </c>
      <c r="I11" s="85"/>
      <c r="J11" s="85"/>
      <c r="K11" s="85"/>
      <c r="L11" s="78">
        <v>38433</v>
      </c>
      <c r="M11" s="78">
        <v>1749</v>
      </c>
      <c r="N11" s="78">
        <f>SUM(L11:M11)</f>
        <v>40182</v>
      </c>
      <c r="O11" s="79">
        <v>1</v>
      </c>
      <c r="P11" s="79">
        <v>10.545</v>
      </c>
      <c r="Q11" s="79">
        <v>0.258</v>
      </c>
      <c r="R11" s="78">
        <f t="shared" si="1"/>
        <v>405727</v>
      </c>
      <c r="S11" s="9">
        <f t="shared" si="2"/>
        <v>0</v>
      </c>
      <c r="T11" s="9">
        <f t="shared" si="3"/>
        <v>0</v>
      </c>
      <c r="U11" s="9">
        <f t="shared" si="4"/>
        <v>0</v>
      </c>
      <c r="V11" s="9">
        <f t="shared" si="5"/>
        <v>0</v>
      </c>
      <c r="W11" s="9">
        <f t="shared" si="6"/>
        <v>135.2</v>
      </c>
      <c r="X11" s="9">
        <f t="shared" si="7"/>
        <v>0</v>
      </c>
      <c r="Y11" s="9">
        <f t="shared" si="8"/>
        <v>0</v>
      </c>
      <c r="Z11" s="9">
        <f t="shared" si="9"/>
        <v>0</v>
      </c>
      <c r="AA11" s="9">
        <f t="shared" si="10"/>
        <v>135.2</v>
      </c>
      <c r="AB11" s="80">
        <v>0.923</v>
      </c>
      <c r="AC11" s="9">
        <f t="shared" si="11"/>
        <v>0</v>
      </c>
      <c r="AD11" s="9">
        <f t="shared" si="12"/>
        <v>0</v>
      </c>
      <c r="AE11" s="9">
        <f t="shared" si="13"/>
        <v>0</v>
      </c>
      <c r="AF11" s="9">
        <f t="shared" si="14"/>
        <v>0</v>
      </c>
      <c r="AG11" s="9">
        <f t="shared" si="15"/>
        <v>124.8</v>
      </c>
      <c r="AH11" s="9">
        <f t="shared" si="16"/>
        <v>0</v>
      </c>
      <c r="AI11" s="9">
        <f t="shared" si="17"/>
        <v>0</v>
      </c>
      <c r="AJ11" s="9">
        <f t="shared" si="18"/>
        <v>0</v>
      </c>
      <c r="AK11" s="9">
        <f t="shared" si="19"/>
        <v>124.8</v>
      </c>
    </row>
    <row r="12" spans="1:37" s="10" customFormat="1" ht="15.75">
      <c r="A12" s="74">
        <v>5</v>
      </c>
      <c r="B12" s="75" t="s">
        <v>36</v>
      </c>
      <c r="C12" s="76">
        <v>5</v>
      </c>
      <c r="D12" s="11"/>
      <c r="E12" s="11"/>
      <c r="F12" s="11"/>
      <c r="G12" s="11"/>
      <c r="H12" s="11">
        <v>4</v>
      </c>
      <c r="I12" s="11"/>
      <c r="J12" s="11"/>
      <c r="K12" s="11"/>
      <c r="L12" s="78">
        <v>38433</v>
      </c>
      <c r="M12" s="78">
        <v>1749</v>
      </c>
      <c r="N12" s="78">
        <f t="shared" si="0"/>
        <v>40182</v>
      </c>
      <c r="O12" s="79">
        <v>1</v>
      </c>
      <c r="P12" s="79">
        <v>10.545</v>
      </c>
      <c r="Q12" s="79">
        <v>0.258</v>
      </c>
      <c r="R12" s="78">
        <f t="shared" si="1"/>
        <v>405727</v>
      </c>
      <c r="S12" s="9">
        <f t="shared" si="2"/>
        <v>0</v>
      </c>
      <c r="T12" s="9">
        <f t="shared" si="3"/>
        <v>0</v>
      </c>
      <c r="U12" s="9">
        <f t="shared" si="4"/>
        <v>0</v>
      </c>
      <c r="V12" s="9">
        <f t="shared" si="5"/>
        <v>0</v>
      </c>
      <c r="W12" s="9">
        <f t="shared" si="6"/>
        <v>541</v>
      </c>
      <c r="X12" s="9">
        <f t="shared" si="7"/>
        <v>0</v>
      </c>
      <c r="Y12" s="9">
        <f t="shared" si="8"/>
        <v>0</v>
      </c>
      <c r="Z12" s="9">
        <f t="shared" si="9"/>
        <v>0</v>
      </c>
      <c r="AA12" s="9">
        <f t="shared" si="10"/>
        <v>541</v>
      </c>
      <c r="AB12" s="80">
        <v>1.309</v>
      </c>
      <c r="AC12" s="9">
        <f t="shared" si="11"/>
        <v>0</v>
      </c>
      <c r="AD12" s="9">
        <f t="shared" si="12"/>
        <v>0</v>
      </c>
      <c r="AE12" s="9">
        <f t="shared" si="13"/>
        <v>0</v>
      </c>
      <c r="AF12" s="9">
        <f t="shared" si="14"/>
        <v>0</v>
      </c>
      <c r="AG12" s="9">
        <f t="shared" si="15"/>
        <v>708.2</v>
      </c>
      <c r="AH12" s="9">
        <f t="shared" si="16"/>
        <v>0</v>
      </c>
      <c r="AI12" s="9">
        <f t="shared" si="17"/>
        <v>0</v>
      </c>
      <c r="AJ12" s="9">
        <f t="shared" si="18"/>
        <v>0</v>
      </c>
      <c r="AK12" s="9">
        <f t="shared" si="19"/>
        <v>708.2</v>
      </c>
    </row>
    <row r="13" spans="1:37" s="10" customFormat="1" ht="15.75">
      <c r="A13" s="84">
        <v>6</v>
      </c>
      <c r="B13" s="75" t="s">
        <v>37</v>
      </c>
      <c r="C13" s="76">
        <v>5</v>
      </c>
      <c r="D13" s="11"/>
      <c r="E13" s="11"/>
      <c r="F13" s="11"/>
      <c r="G13" s="11"/>
      <c r="H13" s="11"/>
      <c r="I13" s="11">
        <v>3</v>
      </c>
      <c r="J13" s="11"/>
      <c r="K13" s="11"/>
      <c r="L13" s="78">
        <v>38433</v>
      </c>
      <c r="M13" s="78">
        <v>1749</v>
      </c>
      <c r="N13" s="78">
        <f t="shared" si="0"/>
        <v>40182</v>
      </c>
      <c r="O13" s="79">
        <v>1</v>
      </c>
      <c r="P13" s="79">
        <v>10.545</v>
      </c>
      <c r="Q13" s="79">
        <v>0.258</v>
      </c>
      <c r="R13" s="78">
        <f t="shared" si="1"/>
        <v>405727</v>
      </c>
      <c r="S13" s="9">
        <f t="shared" si="2"/>
        <v>0</v>
      </c>
      <c r="T13" s="9">
        <f t="shared" si="3"/>
        <v>0</v>
      </c>
      <c r="U13" s="9">
        <f t="shared" si="4"/>
        <v>0</v>
      </c>
      <c r="V13" s="9">
        <f t="shared" si="5"/>
        <v>0</v>
      </c>
      <c r="W13" s="9">
        <f t="shared" si="6"/>
        <v>0</v>
      </c>
      <c r="X13" s="9">
        <f t="shared" si="7"/>
        <v>405.7</v>
      </c>
      <c r="Y13" s="9">
        <f t="shared" si="8"/>
        <v>0</v>
      </c>
      <c r="Z13" s="9">
        <f t="shared" si="9"/>
        <v>0</v>
      </c>
      <c r="AA13" s="9">
        <f t="shared" si="10"/>
        <v>405.7</v>
      </c>
      <c r="AB13" s="80">
        <v>0.997</v>
      </c>
      <c r="AC13" s="9">
        <f t="shared" si="11"/>
        <v>0</v>
      </c>
      <c r="AD13" s="9">
        <f t="shared" si="12"/>
        <v>0</v>
      </c>
      <c r="AE13" s="9">
        <f t="shared" si="13"/>
        <v>0</v>
      </c>
      <c r="AF13" s="9">
        <f t="shared" si="14"/>
        <v>0</v>
      </c>
      <c r="AG13" s="9">
        <f t="shared" si="15"/>
        <v>0</v>
      </c>
      <c r="AH13" s="9">
        <f t="shared" si="16"/>
        <v>404.5</v>
      </c>
      <c r="AI13" s="9">
        <f t="shared" si="17"/>
        <v>0</v>
      </c>
      <c r="AJ13" s="9">
        <f t="shared" si="18"/>
        <v>0</v>
      </c>
      <c r="AK13" s="9">
        <f t="shared" si="19"/>
        <v>404.5</v>
      </c>
    </row>
    <row r="14" spans="1:37" s="10" customFormat="1" ht="15.75" customHeight="1">
      <c r="A14" s="74">
        <v>7</v>
      </c>
      <c r="B14" s="75" t="s">
        <v>38</v>
      </c>
      <c r="C14" s="76">
        <v>5</v>
      </c>
      <c r="D14" s="11"/>
      <c r="E14" s="11"/>
      <c r="F14" s="11"/>
      <c r="G14" s="11">
        <v>1</v>
      </c>
      <c r="H14" s="11"/>
      <c r="I14" s="11">
        <v>1</v>
      </c>
      <c r="J14" s="11"/>
      <c r="K14" s="11"/>
      <c r="L14" s="78">
        <v>38433</v>
      </c>
      <c r="M14" s="78">
        <v>1749</v>
      </c>
      <c r="N14" s="78">
        <f t="shared" si="0"/>
        <v>40182</v>
      </c>
      <c r="O14" s="79">
        <v>1</v>
      </c>
      <c r="P14" s="79">
        <v>10.545</v>
      </c>
      <c r="Q14" s="79">
        <v>0.258</v>
      </c>
      <c r="R14" s="78">
        <f t="shared" si="1"/>
        <v>405727</v>
      </c>
      <c r="S14" s="9">
        <f t="shared" si="2"/>
        <v>0</v>
      </c>
      <c r="T14" s="9">
        <f t="shared" si="3"/>
        <v>0</v>
      </c>
      <c r="U14" s="9">
        <f t="shared" si="4"/>
        <v>0</v>
      </c>
      <c r="V14" s="9">
        <f t="shared" si="5"/>
        <v>135.2</v>
      </c>
      <c r="W14" s="9">
        <f t="shared" si="6"/>
        <v>0</v>
      </c>
      <c r="X14" s="9">
        <f t="shared" si="7"/>
        <v>135.2</v>
      </c>
      <c r="Y14" s="9">
        <f t="shared" si="8"/>
        <v>0</v>
      </c>
      <c r="Z14" s="9">
        <f t="shared" si="9"/>
        <v>0</v>
      </c>
      <c r="AA14" s="9">
        <f t="shared" si="10"/>
        <v>270.4</v>
      </c>
      <c r="AB14" s="80">
        <v>0.848</v>
      </c>
      <c r="AC14" s="9">
        <f t="shared" si="11"/>
        <v>0</v>
      </c>
      <c r="AD14" s="9">
        <f t="shared" si="12"/>
        <v>0</v>
      </c>
      <c r="AE14" s="9">
        <f t="shared" si="13"/>
        <v>0</v>
      </c>
      <c r="AF14" s="9">
        <f t="shared" si="14"/>
        <v>114.6</v>
      </c>
      <c r="AG14" s="9">
        <f t="shared" si="15"/>
        <v>0</v>
      </c>
      <c r="AH14" s="9">
        <f t="shared" si="16"/>
        <v>114.6</v>
      </c>
      <c r="AI14" s="9">
        <f t="shared" si="17"/>
        <v>0</v>
      </c>
      <c r="AJ14" s="9">
        <f t="shared" si="18"/>
        <v>0</v>
      </c>
      <c r="AK14" s="9">
        <f t="shared" si="19"/>
        <v>229.2</v>
      </c>
    </row>
    <row r="15" spans="1:37" s="89" customFormat="1" ht="15.75">
      <c r="A15" s="84">
        <v>8</v>
      </c>
      <c r="B15" s="86" t="s">
        <v>39</v>
      </c>
      <c r="C15" s="76">
        <v>5</v>
      </c>
      <c r="D15" s="11"/>
      <c r="E15" s="11"/>
      <c r="F15" s="11">
        <v>1</v>
      </c>
      <c r="G15" s="11"/>
      <c r="H15" s="11"/>
      <c r="I15" s="11">
        <v>2</v>
      </c>
      <c r="J15" s="11">
        <v>1</v>
      </c>
      <c r="K15" s="11">
        <v>1</v>
      </c>
      <c r="L15" s="78">
        <v>38433</v>
      </c>
      <c r="M15" s="78">
        <v>1749</v>
      </c>
      <c r="N15" s="78">
        <f t="shared" si="0"/>
        <v>40182</v>
      </c>
      <c r="O15" s="79">
        <v>1</v>
      </c>
      <c r="P15" s="79">
        <v>10.545</v>
      </c>
      <c r="Q15" s="79">
        <v>0.258</v>
      </c>
      <c r="R15" s="78">
        <f t="shared" si="1"/>
        <v>405727</v>
      </c>
      <c r="S15" s="9">
        <f t="shared" si="2"/>
        <v>0</v>
      </c>
      <c r="T15" s="9">
        <f t="shared" si="3"/>
        <v>0</v>
      </c>
      <c r="U15" s="9">
        <f t="shared" si="4"/>
        <v>135.2</v>
      </c>
      <c r="V15" s="9">
        <f t="shared" si="5"/>
        <v>0</v>
      </c>
      <c r="W15" s="9">
        <f t="shared" si="6"/>
        <v>0</v>
      </c>
      <c r="X15" s="9">
        <f t="shared" si="7"/>
        <v>270.5</v>
      </c>
      <c r="Y15" s="9">
        <f t="shared" si="8"/>
        <v>135.2</v>
      </c>
      <c r="Z15" s="9">
        <f t="shared" si="9"/>
        <v>135.2</v>
      </c>
      <c r="AA15" s="9">
        <f t="shared" si="10"/>
        <v>676.0999999999999</v>
      </c>
      <c r="AB15" s="80">
        <v>0.908</v>
      </c>
      <c r="AC15" s="9">
        <f t="shared" si="11"/>
        <v>0</v>
      </c>
      <c r="AD15" s="9">
        <f t="shared" si="12"/>
        <v>0</v>
      </c>
      <c r="AE15" s="9">
        <f t="shared" si="13"/>
        <v>122.8</v>
      </c>
      <c r="AF15" s="9">
        <f t="shared" si="14"/>
        <v>0</v>
      </c>
      <c r="AG15" s="9">
        <f t="shared" si="15"/>
        <v>0</v>
      </c>
      <c r="AH15" s="9">
        <f t="shared" si="16"/>
        <v>245.6</v>
      </c>
      <c r="AI15" s="9">
        <f t="shared" si="17"/>
        <v>122.8</v>
      </c>
      <c r="AJ15" s="9">
        <f t="shared" si="18"/>
        <v>122.8</v>
      </c>
      <c r="AK15" s="9">
        <f t="shared" si="19"/>
        <v>614</v>
      </c>
    </row>
    <row r="16" spans="1:37" s="10" customFormat="1" ht="15.75">
      <c r="A16" s="74">
        <v>9</v>
      </c>
      <c r="B16" s="75" t="s">
        <v>40</v>
      </c>
      <c r="C16" s="76">
        <v>5</v>
      </c>
      <c r="D16" s="11"/>
      <c r="E16" s="11"/>
      <c r="F16" s="11"/>
      <c r="G16" s="11"/>
      <c r="H16" s="11"/>
      <c r="I16" s="11"/>
      <c r="J16" s="11"/>
      <c r="K16" s="11"/>
      <c r="L16" s="78">
        <v>38433</v>
      </c>
      <c r="M16" s="78">
        <v>1749</v>
      </c>
      <c r="N16" s="78">
        <f t="shared" si="0"/>
        <v>40182</v>
      </c>
      <c r="O16" s="90">
        <v>1.124</v>
      </c>
      <c r="P16" s="79">
        <v>10.545</v>
      </c>
      <c r="Q16" s="79">
        <v>0.258</v>
      </c>
      <c r="R16" s="78">
        <f t="shared" si="1"/>
        <v>410493</v>
      </c>
      <c r="S16" s="9">
        <f t="shared" si="2"/>
        <v>0</v>
      </c>
      <c r="T16" s="9">
        <f t="shared" si="3"/>
        <v>0</v>
      </c>
      <c r="U16" s="9">
        <f t="shared" si="4"/>
        <v>0</v>
      </c>
      <c r="V16" s="9">
        <f t="shared" si="5"/>
        <v>0</v>
      </c>
      <c r="W16" s="9">
        <f t="shared" si="6"/>
        <v>0</v>
      </c>
      <c r="X16" s="9">
        <f t="shared" si="7"/>
        <v>0</v>
      </c>
      <c r="Y16" s="9">
        <f t="shared" si="8"/>
        <v>0</v>
      </c>
      <c r="Z16" s="9">
        <f t="shared" si="9"/>
        <v>0</v>
      </c>
      <c r="AA16" s="9">
        <f t="shared" si="10"/>
        <v>0</v>
      </c>
      <c r="AB16" s="80">
        <v>0.683</v>
      </c>
      <c r="AC16" s="9">
        <f t="shared" si="11"/>
        <v>0</v>
      </c>
      <c r="AD16" s="9">
        <f t="shared" si="12"/>
        <v>0</v>
      </c>
      <c r="AE16" s="9">
        <f t="shared" si="13"/>
        <v>0</v>
      </c>
      <c r="AF16" s="9">
        <f t="shared" si="14"/>
        <v>0</v>
      </c>
      <c r="AG16" s="9">
        <f t="shared" si="15"/>
        <v>0</v>
      </c>
      <c r="AH16" s="9">
        <f t="shared" si="16"/>
        <v>0</v>
      </c>
      <c r="AI16" s="9">
        <f t="shared" si="17"/>
        <v>0</v>
      </c>
      <c r="AJ16" s="9">
        <f t="shared" si="18"/>
        <v>0</v>
      </c>
      <c r="AK16" s="9">
        <f t="shared" si="19"/>
        <v>0</v>
      </c>
    </row>
    <row r="17" spans="1:37" s="10" customFormat="1" ht="15.75">
      <c r="A17" s="84">
        <v>10</v>
      </c>
      <c r="B17" s="91" t="s">
        <v>41</v>
      </c>
      <c r="C17" s="76">
        <v>5</v>
      </c>
      <c r="D17" s="11"/>
      <c r="E17" s="11"/>
      <c r="F17" s="11"/>
      <c r="G17" s="11"/>
      <c r="H17" s="11"/>
      <c r="I17" s="11"/>
      <c r="J17" s="11"/>
      <c r="K17" s="11"/>
      <c r="L17" s="78">
        <v>38433</v>
      </c>
      <c r="M17" s="78">
        <v>1749</v>
      </c>
      <c r="N17" s="78">
        <f t="shared" si="0"/>
        <v>40182</v>
      </c>
      <c r="O17" s="90">
        <v>1.124</v>
      </c>
      <c r="P17" s="79">
        <v>10.545</v>
      </c>
      <c r="Q17" s="79">
        <v>0.258</v>
      </c>
      <c r="R17" s="78">
        <f t="shared" si="1"/>
        <v>410493</v>
      </c>
      <c r="S17" s="9">
        <f t="shared" si="2"/>
        <v>0</v>
      </c>
      <c r="T17" s="9">
        <f t="shared" si="3"/>
        <v>0</v>
      </c>
      <c r="U17" s="9">
        <f t="shared" si="4"/>
        <v>0</v>
      </c>
      <c r="V17" s="9">
        <f t="shared" si="5"/>
        <v>0</v>
      </c>
      <c r="W17" s="9">
        <f t="shared" si="6"/>
        <v>0</v>
      </c>
      <c r="X17" s="9">
        <f t="shared" si="7"/>
        <v>0</v>
      </c>
      <c r="Y17" s="9">
        <f t="shared" si="8"/>
        <v>0</v>
      </c>
      <c r="Z17" s="9">
        <f t="shared" si="9"/>
        <v>0</v>
      </c>
      <c r="AA17" s="9">
        <f t="shared" si="10"/>
        <v>0</v>
      </c>
      <c r="AB17" s="80">
        <v>1.033</v>
      </c>
      <c r="AC17" s="9">
        <f t="shared" si="11"/>
        <v>0</v>
      </c>
      <c r="AD17" s="9">
        <f t="shared" si="12"/>
        <v>0</v>
      </c>
      <c r="AE17" s="9">
        <f t="shared" si="13"/>
        <v>0</v>
      </c>
      <c r="AF17" s="9">
        <f t="shared" si="14"/>
        <v>0</v>
      </c>
      <c r="AG17" s="9">
        <f t="shared" si="15"/>
        <v>0</v>
      </c>
      <c r="AH17" s="9">
        <f t="shared" si="16"/>
        <v>0</v>
      </c>
      <c r="AI17" s="9">
        <f t="shared" si="17"/>
        <v>0</v>
      </c>
      <c r="AJ17" s="9">
        <f t="shared" si="18"/>
        <v>0</v>
      </c>
      <c r="AK17" s="9">
        <f t="shared" si="19"/>
        <v>0</v>
      </c>
    </row>
    <row r="18" spans="1:37" s="10" customFormat="1" ht="15.75">
      <c r="A18" s="74">
        <v>11</v>
      </c>
      <c r="B18" s="91" t="s">
        <v>42</v>
      </c>
      <c r="C18" s="76">
        <v>5</v>
      </c>
      <c r="D18" s="11"/>
      <c r="E18" s="11"/>
      <c r="F18" s="11"/>
      <c r="G18" s="11"/>
      <c r="H18" s="11"/>
      <c r="I18" s="11"/>
      <c r="J18" s="11"/>
      <c r="K18" s="11">
        <v>2</v>
      </c>
      <c r="L18" s="78">
        <v>38433</v>
      </c>
      <c r="M18" s="78">
        <v>1749</v>
      </c>
      <c r="N18" s="78">
        <f t="shared" si="0"/>
        <v>40182</v>
      </c>
      <c r="O18" s="90">
        <v>1.124</v>
      </c>
      <c r="P18" s="79">
        <v>10.545</v>
      </c>
      <c r="Q18" s="79">
        <v>0.258</v>
      </c>
      <c r="R18" s="78">
        <f t="shared" si="1"/>
        <v>410493</v>
      </c>
      <c r="S18" s="9">
        <f t="shared" si="2"/>
        <v>0</v>
      </c>
      <c r="T18" s="9">
        <f t="shared" si="3"/>
        <v>0</v>
      </c>
      <c r="U18" s="9">
        <f t="shared" si="4"/>
        <v>0</v>
      </c>
      <c r="V18" s="9">
        <f t="shared" si="5"/>
        <v>0</v>
      </c>
      <c r="W18" s="9">
        <f t="shared" si="6"/>
        <v>0</v>
      </c>
      <c r="X18" s="9">
        <f t="shared" si="7"/>
        <v>0</v>
      </c>
      <c r="Y18" s="9">
        <f t="shared" si="8"/>
        <v>0</v>
      </c>
      <c r="Z18" s="9">
        <f t="shared" si="9"/>
        <v>273.7</v>
      </c>
      <c r="AA18" s="9">
        <f t="shared" si="10"/>
        <v>273.7</v>
      </c>
      <c r="AB18" s="80">
        <v>1.183</v>
      </c>
      <c r="AC18" s="9">
        <f t="shared" si="11"/>
        <v>0</v>
      </c>
      <c r="AD18" s="9">
        <f t="shared" si="12"/>
        <v>0</v>
      </c>
      <c r="AE18" s="9">
        <f t="shared" si="13"/>
        <v>0</v>
      </c>
      <c r="AF18" s="9">
        <f t="shared" si="14"/>
        <v>0</v>
      </c>
      <c r="AG18" s="9">
        <f t="shared" si="15"/>
        <v>0</v>
      </c>
      <c r="AH18" s="9">
        <f t="shared" si="16"/>
        <v>0</v>
      </c>
      <c r="AI18" s="9">
        <f t="shared" si="17"/>
        <v>0</v>
      </c>
      <c r="AJ18" s="9">
        <f t="shared" si="18"/>
        <v>323.8</v>
      </c>
      <c r="AK18" s="9">
        <f t="shared" si="19"/>
        <v>323.8</v>
      </c>
    </row>
    <row r="19" spans="1:37" s="10" customFormat="1" ht="15.75">
      <c r="A19" s="84">
        <v>12</v>
      </c>
      <c r="B19" s="91" t="s">
        <v>43</v>
      </c>
      <c r="C19" s="76">
        <v>5</v>
      </c>
      <c r="D19" s="11"/>
      <c r="E19" s="11"/>
      <c r="F19" s="11">
        <v>1</v>
      </c>
      <c r="G19" s="11"/>
      <c r="H19" s="11">
        <v>2</v>
      </c>
      <c r="I19" s="11"/>
      <c r="J19" s="11"/>
      <c r="K19" s="11">
        <v>1</v>
      </c>
      <c r="L19" s="78">
        <v>38433</v>
      </c>
      <c r="M19" s="78">
        <v>1749</v>
      </c>
      <c r="N19" s="78">
        <f t="shared" si="0"/>
        <v>40182</v>
      </c>
      <c r="O19" s="90">
        <v>1.124</v>
      </c>
      <c r="P19" s="79">
        <v>10.545</v>
      </c>
      <c r="Q19" s="79">
        <v>0.258</v>
      </c>
      <c r="R19" s="78">
        <f t="shared" si="1"/>
        <v>410493</v>
      </c>
      <c r="S19" s="9">
        <f t="shared" si="2"/>
        <v>0</v>
      </c>
      <c r="T19" s="9">
        <f t="shared" si="3"/>
        <v>0</v>
      </c>
      <c r="U19" s="9">
        <f t="shared" si="4"/>
        <v>136.8</v>
      </c>
      <c r="V19" s="9">
        <f t="shared" si="5"/>
        <v>0</v>
      </c>
      <c r="W19" s="9">
        <f t="shared" si="6"/>
        <v>273.7</v>
      </c>
      <c r="X19" s="9">
        <f t="shared" si="7"/>
        <v>0</v>
      </c>
      <c r="Y19" s="9">
        <f t="shared" si="8"/>
        <v>0</v>
      </c>
      <c r="Z19" s="9">
        <f t="shared" si="9"/>
        <v>136.8</v>
      </c>
      <c r="AA19" s="9">
        <f t="shared" si="10"/>
        <v>547.3</v>
      </c>
      <c r="AB19" s="80">
        <v>0.968</v>
      </c>
      <c r="AC19" s="9">
        <f t="shared" si="11"/>
        <v>0</v>
      </c>
      <c r="AD19" s="9">
        <f t="shared" si="12"/>
        <v>0</v>
      </c>
      <c r="AE19" s="9">
        <f t="shared" si="13"/>
        <v>132.4</v>
      </c>
      <c r="AF19" s="9">
        <f t="shared" si="14"/>
        <v>0</v>
      </c>
      <c r="AG19" s="9">
        <f t="shared" si="15"/>
        <v>264.9</v>
      </c>
      <c r="AH19" s="9">
        <f t="shared" si="16"/>
        <v>0</v>
      </c>
      <c r="AI19" s="9">
        <f t="shared" si="17"/>
        <v>0</v>
      </c>
      <c r="AJ19" s="9">
        <f t="shared" si="18"/>
        <v>132.4</v>
      </c>
      <c r="AK19" s="9">
        <f t="shared" si="19"/>
        <v>529.6999999999999</v>
      </c>
    </row>
    <row r="20" spans="1:37" s="10" customFormat="1" ht="15.75">
      <c r="A20" s="74">
        <v>13</v>
      </c>
      <c r="B20" s="91" t="s">
        <v>44</v>
      </c>
      <c r="C20" s="76">
        <v>5</v>
      </c>
      <c r="D20" s="11"/>
      <c r="E20" s="11"/>
      <c r="F20" s="11"/>
      <c r="G20" s="11"/>
      <c r="H20" s="11">
        <v>3</v>
      </c>
      <c r="I20" s="11"/>
      <c r="J20" s="11"/>
      <c r="K20" s="11">
        <v>1</v>
      </c>
      <c r="L20" s="78">
        <v>38433</v>
      </c>
      <c r="M20" s="78">
        <v>1749</v>
      </c>
      <c r="N20" s="78">
        <f t="shared" si="0"/>
        <v>40182</v>
      </c>
      <c r="O20" s="90">
        <v>1.124</v>
      </c>
      <c r="P20" s="79">
        <v>10.545</v>
      </c>
      <c r="Q20" s="79">
        <v>0.258</v>
      </c>
      <c r="R20" s="78">
        <f t="shared" si="1"/>
        <v>410493</v>
      </c>
      <c r="S20" s="9">
        <f t="shared" si="2"/>
        <v>0</v>
      </c>
      <c r="T20" s="9">
        <f t="shared" si="3"/>
        <v>0</v>
      </c>
      <c r="U20" s="9">
        <f t="shared" si="4"/>
        <v>0</v>
      </c>
      <c r="V20" s="9">
        <f t="shared" si="5"/>
        <v>0</v>
      </c>
      <c r="W20" s="9">
        <f t="shared" si="6"/>
        <v>410.5</v>
      </c>
      <c r="X20" s="9">
        <f t="shared" si="7"/>
        <v>0</v>
      </c>
      <c r="Y20" s="9">
        <f t="shared" si="8"/>
        <v>0</v>
      </c>
      <c r="Z20" s="9">
        <f t="shared" si="9"/>
        <v>136.8</v>
      </c>
      <c r="AA20" s="9">
        <f t="shared" si="10"/>
        <v>547.3</v>
      </c>
      <c r="AB20" s="80">
        <v>0.881</v>
      </c>
      <c r="AC20" s="9">
        <f t="shared" si="11"/>
        <v>0</v>
      </c>
      <c r="AD20" s="9">
        <f t="shared" si="12"/>
        <v>0</v>
      </c>
      <c r="AE20" s="9">
        <f t="shared" si="13"/>
        <v>0</v>
      </c>
      <c r="AF20" s="9">
        <f t="shared" si="14"/>
        <v>0</v>
      </c>
      <c r="AG20" s="9">
        <f t="shared" si="15"/>
        <v>361.7</v>
      </c>
      <c r="AH20" s="9">
        <f t="shared" si="16"/>
        <v>0</v>
      </c>
      <c r="AI20" s="9">
        <f t="shared" si="17"/>
        <v>0</v>
      </c>
      <c r="AJ20" s="9">
        <f t="shared" si="18"/>
        <v>120.5</v>
      </c>
      <c r="AK20" s="9">
        <f t="shared" si="19"/>
        <v>482.2</v>
      </c>
    </row>
    <row r="21" spans="1:37" s="10" customFormat="1" ht="19.5" customHeight="1">
      <c r="A21" s="84">
        <v>14</v>
      </c>
      <c r="B21" s="91" t="s">
        <v>45</v>
      </c>
      <c r="C21" s="76">
        <v>5</v>
      </c>
      <c r="D21" s="11">
        <v>1</v>
      </c>
      <c r="E21" s="11"/>
      <c r="F21" s="11"/>
      <c r="G21" s="11"/>
      <c r="H21" s="11">
        <v>1</v>
      </c>
      <c r="I21" s="11"/>
      <c r="J21" s="11"/>
      <c r="K21" s="11"/>
      <c r="L21" s="78">
        <v>38433</v>
      </c>
      <c r="M21" s="78">
        <v>1749</v>
      </c>
      <c r="N21" s="78">
        <f t="shared" si="0"/>
        <v>40182</v>
      </c>
      <c r="O21" s="90">
        <v>1.124</v>
      </c>
      <c r="P21" s="79">
        <v>10.545</v>
      </c>
      <c r="Q21" s="79">
        <v>0.258</v>
      </c>
      <c r="R21" s="78">
        <f t="shared" si="1"/>
        <v>410493</v>
      </c>
      <c r="S21" s="9">
        <f t="shared" si="2"/>
        <v>136.8</v>
      </c>
      <c r="T21" s="9">
        <f t="shared" si="3"/>
        <v>0</v>
      </c>
      <c r="U21" s="9">
        <f t="shared" si="4"/>
        <v>0</v>
      </c>
      <c r="V21" s="9">
        <f t="shared" si="5"/>
        <v>0</v>
      </c>
      <c r="W21" s="9">
        <f t="shared" si="6"/>
        <v>136.8</v>
      </c>
      <c r="X21" s="9">
        <f t="shared" si="7"/>
        <v>0</v>
      </c>
      <c r="Y21" s="9">
        <f t="shared" si="8"/>
        <v>0</v>
      </c>
      <c r="Z21" s="9">
        <f t="shared" si="9"/>
        <v>0</v>
      </c>
      <c r="AA21" s="9">
        <f t="shared" si="10"/>
        <v>273.6</v>
      </c>
      <c r="AB21" s="80">
        <v>1.12</v>
      </c>
      <c r="AC21" s="9">
        <f t="shared" si="11"/>
        <v>153.2</v>
      </c>
      <c r="AD21" s="9">
        <f t="shared" si="12"/>
        <v>0</v>
      </c>
      <c r="AE21" s="9">
        <f t="shared" si="13"/>
        <v>0</v>
      </c>
      <c r="AF21" s="9">
        <f t="shared" si="14"/>
        <v>0</v>
      </c>
      <c r="AG21" s="9">
        <f t="shared" si="15"/>
        <v>153.2</v>
      </c>
      <c r="AH21" s="9">
        <f t="shared" si="16"/>
        <v>0</v>
      </c>
      <c r="AI21" s="9">
        <f t="shared" si="17"/>
        <v>0</v>
      </c>
      <c r="AJ21" s="9">
        <f t="shared" si="18"/>
        <v>0</v>
      </c>
      <c r="AK21" s="9">
        <f t="shared" si="19"/>
        <v>306.4</v>
      </c>
    </row>
    <row r="22" spans="1:37" s="10" customFormat="1" ht="15.75">
      <c r="A22" s="74">
        <v>15</v>
      </c>
      <c r="B22" s="91" t="s">
        <v>46</v>
      </c>
      <c r="C22" s="76">
        <v>5</v>
      </c>
      <c r="D22" s="11"/>
      <c r="E22" s="11"/>
      <c r="F22" s="11"/>
      <c r="G22" s="11"/>
      <c r="H22" s="11"/>
      <c r="I22" s="11">
        <v>2</v>
      </c>
      <c r="J22" s="11">
        <v>1</v>
      </c>
      <c r="K22" s="11"/>
      <c r="L22" s="78">
        <v>38433</v>
      </c>
      <c r="M22" s="78">
        <v>1749</v>
      </c>
      <c r="N22" s="78">
        <f t="shared" si="0"/>
        <v>40182</v>
      </c>
      <c r="O22" s="90">
        <v>1.124</v>
      </c>
      <c r="P22" s="79">
        <v>10.545</v>
      </c>
      <c r="Q22" s="79">
        <v>0.258</v>
      </c>
      <c r="R22" s="78">
        <f t="shared" si="1"/>
        <v>410493</v>
      </c>
      <c r="S22" s="9">
        <f t="shared" si="2"/>
        <v>0</v>
      </c>
      <c r="T22" s="9">
        <f t="shared" si="3"/>
        <v>0</v>
      </c>
      <c r="U22" s="9">
        <f t="shared" si="4"/>
        <v>0</v>
      </c>
      <c r="V22" s="9">
        <f t="shared" si="5"/>
        <v>0</v>
      </c>
      <c r="W22" s="9">
        <f t="shared" si="6"/>
        <v>0</v>
      </c>
      <c r="X22" s="9">
        <f t="shared" si="7"/>
        <v>273.7</v>
      </c>
      <c r="Y22" s="9">
        <f t="shared" si="8"/>
        <v>136.8</v>
      </c>
      <c r="Z22" s="9">
        <f t="shared" si="9"/>
        <v>0</v>
      </c>
      <c r="AA22" s="9">
        <f t="shared" si="10"/>
        <v>410.5</v>
      </c>
      <c r="AB22" s="80">
        <v>0.948</v>
      </c>
      <c r="AC22" s="9">
        <f t="shared" si="11"/>
        <v>0</v>
      </c>
      <c r="AD22" s="9">
        <f t="shared" si="12"/>
        <v>0</v>
      </c>
      <c r="AE22" s="9">
        <f t="shared" si="13"/>
        <v>0</v>
      </c>
      <c r="AF22" s="9">
        <f t="shared" si="14"/>
        <v>0</v>
      </c>
      <c r="AG22" s="9">
        <f t="shared" si="15"/>
        <v>0</v>
      </c>
      <c r="AH22" s="9">
        <f t="shared" si="16"/>
        <v>259.5</v>
      </c>
      <c r="AI22" s="9">
        <f t="shared" si="17"/>
        <v>129.7</v>
      </c>
      <c r="AJ22" s="9">
        <f t="shared" si="18"/>
        <v>0</v>
      </c>
      <c r="AK22" s="9">
        <f t="shared" si="19"/>
        <v>389.2</v>
      </c>
    </row>
    <row r="23" spans="1:37" s="10" customFormat="1" ht="15.75" customHeight="1">
      <c r="A23" s="84">
        <v>16</v>
      </c>
      <c r="B23" s="91" t="s">
        <v>47</v>
      </c>
      <c r="C23" s="76">
        <v>5</v>
      </c>
      <c r="D23" s="11"/>
      <c r="E23" s="11"/>
      <c r="F23" s="11"/>
      <c r="G23" s="11"/>
      <c r="H23" s="11"/>
      <c r="I23" s="11">
        <v>2</v>
      </c>
      <c r="J23" s="11"/>
      <c r="K23" s="11"/>
      <c r="L23" s="78">
        <v>38433</v>
      </c>
      <c r="M23" s="78">
        <v>1749</v>
      </c>
      <c r="N23" s="78">
        <f t="shared" si="0"/>
        <v>40182</v>
      </c>
      <c r="O23" s="90">
        <v>1.124</v>
      </c>
      <c r="P23" s="79">
        <v>10.545</v>
      </c>
      <c r="Q23" s="79">
        <v>0.258</v>
      </c>
      <c r="R23" s="78">
        <f t="shared" si="1"/>
        <v>410493</v>
      </c>
      <c r="S23" s="9">
        <f t="shared" si="2"/>
        <v>0</v>
      </c>
      <c r="T23" s="9">
        <f t="shared" si="3"/>
        <v>0</v>
      </c>
      <c r="U23" s="9">
        <f t="shared" si="4"/>
        <v>0</v>
      </c>
      <c r="V23" s="9">
        <f t="shared" si="5"/>
        <v>0</v>
      </c>
      <c r="W23" s="9">
        <f t="shared" si="6"/>
        <v>0</v>
      </c>
      <c r="X23" s="9">
        <f t="shared" si="7"/>
        <v>273.7</v>
      </c>
      <c r="Y23" s="9">
        <f t="shared" si="8"/>
        <v>0</v>
      </c>
      <c r="Z23" s="9">
        <f t="shared" si="9"/>
        <v>0</v>
      </c>
      <c r="AA23" s="9">
        <f t="shared" si="10"/>
        <v>273.7</v>
      </c>
      <c r="AB23" s="80">
        <v>0.771</v>
      </c>
      <c r="AC23" s="9">
        <f t="shared" si="11"/>
        <v>0</v>
      </c>
      <c r="AD23" s="9">
        <f t="shared" si="12"/>
        <v>0</v>
      </c>
      <c r="AE23" s="9">
        <f t="shared" si="13"/>
        <v>0</v>
      </c>
      <c r="AF23" s="9">
        <f t="shared" si="14"/>
        <v>0</v>
      </c>
      <c r="AG23" s="9">
        <f t="shared" si="15"/>
        <v>0</v>
      </c>
      <c r="AH23" s="9">
        <f t="shared" si="16"/>
        <v>211</v>
      </c>
      <c r="AI23" s="9">
        <f t="shared" si="17"/>
        <v>0</v>
      </c>
      <c r="AJ23" s="9">
        <f t="shared" si="18"/>
        <v>0</v>
      </c>
      <c r="AK23" s="9">
        <f t="shared" si="19"/>
        <v>211</v>
      </c>
    </row>
    <row r="24" spans="1:37" s="10" customFormat="1" ht="15.75">
      <c r="A24" s="74">
        <v>17</v>
      </c>
      <c r="B24" s="91" t="s">
        <v>48</v>
      </c>
      <c r="C24" s="76">
        <v>5</v>
      </c>
      <c r="D24" s="11"/>
      <c r="E24" s="11"/>
      <c r="F24" s="11"/>
      <c r="G24" s="11"/>
      <c r="H24" s="11"/>
      <c r="I24" s="11"/>
      <c r="J24" s="11"/>
      <c r="K24" s="11"/>
      <c r="L24" s="78">
        <v>38433</v>
      </c>
      <c r="M24" s="78">
        <v>1749</v>
      </c>
      <c r="N24" s="78">
        <f t="shared" si="0"/>
        <v>40182</v>
      </c>
      <c r="O24" s="90">
        <v>1.124</v>
      </c>
      <c r="P24" s="79">
        <v>10.545</v>
      </c>
      <c r="Q24" s="79">
        <v>0.258</v>
      </c>
      <c r="R24" s="78">
        <f t="shared" si="1"/>
        <v>410493</v>
      </c>
      <c r="S24" s="9">
        <f t="shared" si="2"/>
        <v>0</v>
      </c>
      <c r="T24" s="9">
        <f t="shared" si="3"/>
        <v>0</v>
      </c>
      <c r="U24" s="9">
        <f t="shared" si="4"/>
        <v>0</v>
      </c>
      <c r="V24" s="9">
        <f t="shared" si="5"/>
        <v>0</v>
      </c>
      <c r="W24" s="9">
        <f t="shared" si="6"/>
        <v>0</v>
      </c>
      <c r="X24" s="9">
        <f t="shared" si="7"/>
        <v>0</v>
      </c>
      <c r="Y24" s="9">
        <f t="shared" si="8"/>
        <v>0</v>
      </c>
      <c r="Z24" s="9">
        <f t="shared" si="9"/>
        <v>0</v>
      </c>
      <c r="AA24" s="9">
        <f t="shared" si="10"/>
        <v>0</v>
      </c>
      <c r="AB24" s="80">
        <v>0.829</v>
      </c>
      <c r="AC24" s="9">
        <f t="shared" si="11"/>
        <v>0</v>
      </c>
      <c r="AD24" s="9">
        <f t="shared" si="12"/>
        <v>0</v>
      </c>
      <c r="AE24" s="9">
        <f t="shared" si="13"/>
        <v>0</v>
      </c>
      <c r="AF24" s="9">
        <f t="shared" si="14"/>
        <v>0</v>
      </c>
      <c r="AG24" s="9">
        <f t="shared" si="15"/>
        <v>0</v>
      </c>
      <c r="AH24" s="9">
        <f t="shared" si="16"/>
        <v>0</v>
      </c>
      <c r="AI24" s="9">
        <f t="shared" si="17"/>
        <v>0</v>
      </c>
      <c r="AJ24" s="9">
        <f t="shared" si="18"/>
        <v>0</v>
      </c>
      <c r="AK24" s="9">
        <f t="shared" si="19"/>
        <v>0</v>
      </c>
    </row>
    <row r="25" spans="1:37" s="10" customFormat="1" ht="15.75">
      <c r="A25" s="84">
        <v>18</v>
      </c>
      <c r="B25" s="91" t="s">
        <v>49</v>
      </c>
      <c r="C25" s="76">
        <v>5</v>
      </c>
      <c r="D25" s="11"/>
      <c r="E25" s="11"/>
      <c r="F25" s="11"/>
      <c r="G25" s="11"/>
      <c r="H25" s="11">
        <v>5</v>
      </c>
      <c r="I25" s="11"/>
      <c r="J25" s="11">
        <v>1</v>
      </c>
      <c r="K25" s="11">
        <v>1</v>
      </c>
      <c r="L25" s="78">
        <v>38433</v>
      </c>
      <c r="M25" s="78">
        <v>1749</v>
      </c>
      <c r="N25" s="78">
        <f t="shared" si="0"/>
        <v>40182</v>
      </c>
      <c r="O25" s="90">
        <v>1.124</v>
      </c>
      <c r="P25" s="79">
        <v>10.545</v>
      </c>
      <c r="Q25" s="79">
        <v>0.258</v>
      </c>
      <c r="R25" s="78">
        <f t="shared" si="1"/>
        <v>410493</v>
      </c>
      <c r="S25" s="9">
        <f t="shared" si="2"/>
        <v>0</v>
      </c>
      <c r="T25" s="9">
        <f t="shared" si="3"/>
        <v>0</v>
      </c>
      <c r="U25" s="9">
        <f t="shared" si="4"/>
        <v>0</v>
      </c>
      <c r="V25" s="9">
        <f t="shared" si="5"/>
        <v>0</v>
      </c>
      <c r="W25" s="9">
        <f t="shared" si="6"/>
        <v>684.2</v>
      </c>
      <c r="X25" s="9">
        <f t="shared" si="7"/>
        <v>0</v>
      </c>
      <c r="Y25" s="9">
        <f t="shared" si="8"/>
        <v>136.8</v>
      </c>
      <c r="Z25" s="9">
        <f t="shared" si="9"/>
        <v>136.8</v>
      </c>
      <c r="AA25" s="9">
        <f t="shared" si="10"/>
        <v>957.8</v>
      </c>
      <c r="AB25" s="80">
        <v>0.963</v>
      </c>
      <c r="AC25" s="9">
        <f t="shared" si="11"/>
        <v>0</v>
      </c>
      <c r="AD25" s="9">
        <f t="shared" si="12"/>
        <v>0</v>
      </c>
      <c r="AE25" s="9">
        <f t="shared" si="13"/>
        <v>0</v>
      </c>
      <c r="AF25" s="9">
        <f t="shared" si="14"/>
        <v>0</v>
      </c>
      <c r="AG25" s="9">
        <f t="shared" si="15"/>
        <v>658.9</v>
      </c>
      <c r="AH25" s="9">
        <f t="shared" si="16"/>
        <v>0</v>
      </c>
      <c r="AI25" s="9">
        <f t="shared" si="17"/>
        <v>131.7</v>
      </c>
      <c r="AJ25" s="9">
        <f t="shared" si="18"/>
        <v>131.7</v>
      </c>
      <c r="AK25" s="9">
        <f t="shared" si="19"/>
        <v>922.3</v>
      </c>
    </row>
    <row r="26" spans="1:37" s="10" customFormat="1" ht="13.5" customHeight="1">
      <c r="A26" s="74">
        <v>19</v>
      </c>
      <c r="B26" s="91" t="s">
        <v>50</v>
      </c>
      <c r="C26" s="76">
        <v>5</v>
      </c>
      <c r="D26" s="11"/>
      <c r="E26" s="11"/>
      <c r="F26" s="11"/>
      <c r="G26" s="11"/>
      <c r="H26" s="11"/>
      <c r="I26" s="11"/>
      <c r="J26" s="11"/>
      <c r="K26" s="11">
        <v>1</v>
      </c>
      <c r="L26" s="78">
        <v>38433</v>
      </c>
      <c r="M26" s="78">
        <v>1749</v>
      </c>
      <c r="N26" s="78">
        <f t="shared" si="0"/>
        <v>40182</v>
      </c>
      <c r="O26" s="90">
        <v>1.124</v>
      </c>
      <c r="P26" s="79">
        <v>10.545</v>
      </c>
      <c r="Q26" s="79">
        <v>0.258</v>
      </c>
      <c r="R26" s="78">
        <f t="shared" si="1"/>
        <v>410493</v>
      </c>
      <c r="S26" s="9">
        <f t="shared" si="2"/>
        <v>0</v>
      </c>
      <c r="T26" s="9">
        <f t="shared" si="3"/>
        <v>0</v>
      </c>
      <c r="U26" s="9">
        <f t="shared" si="4"/>
        <v>0</v>
      </c>
      <c r="V26" s="9">
        <f t="shared" si="5"/>
        <v>0</v>
      </c>
      <c r="W26" s="9">
        <f t="shared" si="6"/>
        <v>0</v>
      </c>
      <c r="X26" s="9">
        <f t="shared" si="7"/>
        <v>0</v>
      </c>
      <c r="Y26" s="9">
        <f t="shared" si="8"/>
        <v>0</v>
      </c>
      <c r="Z26" s="9">
        <f t="shared" si="9"/>
        <v>136.8</v>
      </c>
      <c r="AA26" s="9">
        <f t="shared" si="10"/>
        <v>136.8</v>
      </c>
      <c r="AB26" s="80">
        <v>0.903</v>
      </c>
      <c r="AC26" s="9">
        <f t="shared" si="11"/>
        <v>0</v>
      </c>
      <c r="AD26" s="9">
        <f t="shared" si="12"/>
        <v>0</v>
      </c>
      <c r="AE26" s="9">
        <f t="shared" si="13"/>
        <v>0</v>
      </c>
      <c r="AF26" s="9">
        <f t="shared" si="14"/>
        <v>0</v>
      </c>
      <c r="AG26" s="9">
        <f t="shared" si="15"/>
        <v>0</v>
      </c>
      <c r="AH26" s="9">
        <f t="shared" si="16"/>
        <v>0</v>
      </c>
      <c r="AI26" s="9">
        <f t="shared" si="17"/>
        <v>0</v>
      </c>
      <c r="AJ26" s="9">
        <f t="shared" si="18"/>
        <v>123.5</v>
      </c>
      <c r="AK26" s="9">
        <f t="shared" si="19"/>
        <v>123.5</v>
      </c>
    </row>
    <row r="27" spans="1:37" s="10" customFormat="1" ht="15" customHeight="1">
      <c r="A27" s="84">
        <v>20</v>
      </c>
      <c r="B27" s="91" t="s">
        <v>51</v>
      </c>
      <c r="C27" s="76">
        <v>5</v>
      </c>
      <c r="D27" s="11"/>
      <c r="E27" s="11"/>
      <c r="F27" s="11"/>
      <c r="G27" s="11"/>
      <c r="H27" s="11"/>
      <c r="I27" s="11"/>
      <c r="J27" s="11"/>
      <c r="K27" s="11">
        <v>1</v>
      </c>
      <c r="L27" s="78">
        <v>38433</v>
      </c>
      <c r="M27" s="78">
        <v>1749</v>
      </c>
      <c r="N27" s="78">
        <f t="shared" si="0"/>
        <v>40182</v>
      </c>
      <c r="O27" s="90">
        <v>1.124</v>
      </c>
      <c r="P27" s="79">
        <v>10.545</v>
      </c>
      <c r="Q27" s="79">
        <v>0.258</v>
      </c>
      <c r="R27" s="78">
        <f t="shared" si="1"/>
        <v>410493</v>
      </c>
      <c r="S27" s="9">
        <f t="shared" si="2"/>
        <v>0</v>
      </c>
      <c r="T27" s="9">
        <f t="shared" si="3"/>
        <v>0</v>
      </c>
      <c r="U27" s="9">
        <f t="shared" si="4"/>
        <v>0</v>
      </c>
      <c r="V27" s="9">
        <f t="shared" si="5"/>
        <v>0</v>
      </c>
      <c r="W27" s="9">
        <f t="shared" si="6"/>
        <v>0</v>
      </c>
      <c r="X27" s="9">
        <f t="shared" si="7"/>
        <v>0</v>
      </c>
      <c r="Y27" s="9">
        <f t="shared" si="8"/>
        <v>0</v>
      </c>
      <c r="Z27" s="9">
        <f t="shared" si="9"/>
        <v>136.8</v>
      </c>
      <c r="AA27" s="9">
        <f t="shared" si="10"/>
        <v>136.8</v>
      </c>
      <c r="AB27" s="80">
        <v>0.838</v>
      </c>
      <c r="AC27" s="9">
        <f t="shared" si="11"/>
        <v>0</v>
      </c>
      <c r="AD27" s="9">
        <f t="shared" si="12"/>
        <v>0</v>
      </c>
      <c r="AE27" s="9">
        <f t="shared" si="13"/>
        <v>0</v>
      </c>
      <c r="AF27" s="9">
        <f t="shared" si="14"/>
        <v>0</v>
      </c>
      <c r="AG27" s="9">
        <f t="shared" si="15"/>
        <v>0</v>
      </c>
      <c r="AH27" s="9">
        <f t="shared" si="16"/>
        <v>0</v>
      </c>
      <c r="AI27" s="9">
        <f t="shared" si="17"/>
        <v>0</v>
      </c>
      <c r="AJ27" s="9">
        <f t="shared" si="18"/>
        <v>114.6</v>
      </c>
      <c r="AK27" s="9">
        <f t="shared" si="19"/>
        <v>114.6</v>
      </c>
    </row>
    <row r="28" spans="1:37" s="10" customFormat="1" ht="18.75" customHeight="1">
      <c r="A28" s="74">
        <v>21</v>
      </c>
      <c r="B28" s="91" t="s">
        <v>52</v>
      </c>
      <c r="C28" s="76">
        <v>5</v>
      </c>
      <c r="D28" s="11"/>
      <c r="E28" s="11"/>
      <c r="F28" s="11"/>
      <c r="G28" s="11"/>
      <c r="H28" s="11"/>
      <c r="I28" s="11"/>
      <c r="J28" s="11"/>
      <c r="K28" s="11"/>
      <c r="L28" s="78">
        <v>38433</v>
      </c>
      <c r="M28" s="78">
        <v>1749</v>
      </c>
      <c r="N28" s="78">
        <f t="shared" si="0"/>
        <v>40182</v>
      </c>
      <c r="O28" s="90">
        <v>1.124</v>
      </c>
      <c r="P28" s="79">
        <v>10.545</v>
      </c>
      <c r="Q28" s="79">
        <v>0.258</v>
      </c>
      <c r="R28" s="78">
        <f t="shared" si="1"/>
        <v>410493</v>
      </c>
      <c r="S28" s="9">
        <f t="shared" si="2"/>
        <v>0</v>
      </c>
      <c r="T28" s="9">
        <f t="shared" si="3"/>
        <v>0</v>
      </c>
      <c r="U28" s="9">
        <f t="shared" si="4"/>
        <v>0</v>
      </c>
      <c r="V28" s="9">
        <f t="shared" si="5"/>
        <v>0</v>
      </c>
      <c r="W28" s="9">
        <f t="shared" si="6"/>
        <v>0</v>
      </c>
      <c r="X28" s="9">
        <f t="shared" si="7"/>
        <v>0</v>
      </c>
      <c r="Y28" s="9">
        <f t="shared" si="8"/>
        <v>0</v>
      </c>
      <c r="Z28" s="9">
        <f t="shared" si="9"/>
        <v>0</v>
      </c>
      <c r="AA28" s="9">
        <f t="shared" si="10"/>
        <v>0</v>
      </c>
      <c r="AB28" s="80">
        <v>1.042</v>
      </c>
      <c r="AC28" s="9">
        <f t="shared" si="11"/>
        <v>0</v>
      </c>
      <c r="AD28" s="9">
        <f t="shared" si="12"/>
        <v>0</v>
      </c>
      <c r="AE28" s="9">
        <f t="shared" si="13"/>
        <v>0</v>
      </c>
      <c r="AF28" s="9">
        <f t="shared" si="14"/>
        <v>0</v>
      </c>
      <c r="AG28" s="9">
        <f t="shared" si="15"/>
        <v>0</v>
      </c>
      <c r="AH28" s="9">
        <f t="shared" si="16"/>
        <v>0</v>
      </c>
      <c r="AI28" s="9">
        <f t="shared" si="17"/>
        <v>0</v>
      </c>
      <c r="AJ28" s="9">
        <f t="shared" si="18"/>
        <v>0</v>
      </c>
      <c r="AK28" s="9">
        <f t="shared" si="19"/>
        <v>0</v>
      </c>
    </row>
    <row r="29" spans="1:37" s="10" customFormat="1" ht="15.75">
      <c r="A29" s="84">
        <v>22</v>
      </c>
      <c r="B29" s="91" t="s">
        <v>53</v>
      </c>
      <c r="C29" s="76">
        <v>5</v>
      </c>
      <c r="D29" s="11"/>
      <c r="E29" s="11"/>
      <c r="F29" s="11"/>
      <c r="G29" s="11"/>
      <c r="H29" s="11"/>
      <c r="I29" s="11"/>
      <c r="J29" s="11"/>
      <c r="K29" s="11"/>
      <c r="L29" s="78">
        <v>38433</v>
      </c>
      <c r="M29" s="78">
        <v>1749</v>
      </c>
      <c r="N29" s="78">
        <f t="shared" si="0"/>
        <v>40182</v>
      </c>
      <c r="O29" s="90">
        <v>1.124</v>
      </c>
      <c r="P29" s="79">
        <v>10.545</v>
      </c>
      <c r="Q29" s="79">
        <v>0.258</v>
      </c>
      <c r="R29" s="78">
        <f t="shared" si="1"/>
        <v>410493</v>
      </c>
      <c r="S29" s="9">
        <f t="shared" si="2"/>
        <v>0</v>
      </c>
      <c r="T29" s="9">
        <f t="shared" si="3"/>
        <v>0</v>
      </c>
      <c r="U29" s="9">
        <f t="shared" si="4"/>
        <v>0</v>
      </c>
      <c r="V29" s="9">
        <f t="shared" si="5"/>
        <v>0</v>
      </c>
      <c r="W29" s="9">
        <f t="shared" si="6"/>
        <v>0</v>
      </c>
      <c r="X29" s="9">
        <f t="shared" si="7"/>
        <v>0</v>
      </c>
      <c r="Y29" s="9">
        <f t="shared" si="8"/>
        <v>0</v>
      </c>
      <c r="Z29" s="9">
        <f t="shared" si="9"/>
        <v>0</v>
      </c>
      <c r="AA29" s="9">
        <f t="shared" si="10"/>
        <v>0</v>
      </c>
      <c r="AB29" s="80">
        <v>0.786</v>
      </c>
      <c r="AC29" s="9">
        <f t="shared" si="11"/>
        <v>0</v>
      </c>
      <c r="AD29" s="9">
        <f t="shared" si="12"/>
        <v>0</v>
      </c>
      <c r="AE29" s="9">
        <f t="shared" si="13"/>
        <v>0</v>
      </c>
      <c r="AF29" s="9">
        <f t="shared" si="14"/>
        <v>0</v>
      </c>
      <c r="AG29" s="9">
        <f t="shared" si="15"/>
        <v>0</v>
      </c>
      <c r="AH29" s="9">
        <f t="shared" si="16"/>
        <v>0</v>
      </c>
      <c r="AI29" s="9">
        <f t="shared" si="17"/>
        <v>0</v>
      </c>
      <c r="AJ29" s="9">
        <f t="shared" si="18"/>
        <v>0</v>
      </c>
      <c r="AK29" s="9">
        <f t="shared" si="19"/>
        <v>0</v>
      </c>
    </row>
    <row r="30" spans="1:37" s="10" customFormat="1" ht="15.75">
      <c r="A30" s="74">
        <v>23</v>
      </c>
      <c r="B30" s="91" t="s">
        <v>54</v>
      </c>
      <c r="C30" s="76">
        <v>5</v>
      </c>
      <c r="D30" s="11"/>
      <c r="E30" s="11"/>
      <c r="F30" s="11"/>
      <c r="G30" s="11"/>
      <c r="H30" s="11"/>
      <c r="I30" s="11"/>
      <c r="J30" s="11"/>
      <c r="K30" s="11"/>
      <c r="L30" s="78">
        <v>38433</v>
      </c>
      <c r="M30" s="78">
        <v>1749</v>
      </c>
      <c r="N30" s="78">
        <f t="shared" si="0"/>
        <v>40182</v>
      </c>
      <c r="O30" s="90">
        <v>1.124</v>
      </c>
      <c r="P30" s="79">
        <v>10.545</v>
      </c>
      <c r="Q30" s="79">
        <v>0.258</v>
      </c>
      <c r="R30" s="78">
        <f t="shared" si="1"/>
        <v>410493</v>
      </c>
      <c r="S30" s="9">
        <f t="shared" si="2"/>
        <v>0</v>
      </c>
      <c r="T30" s="9">
        <f t="shared" si="3"/>
        <v>0</v>
      </c>
      <c r="U30" s="9">
        <f t="shared" si="4"/>
        <v>0</v>
      </c>
      <c r="V30" s="9">
        <f t="shared" si="5"/>
        <v>0</v>
      </c>
      <c r="W30" s="9">
        <f t="shared" si="6"/>
        <v>0</v>
      </c>
      <c r="X30" s="9">
        <f t="shared" si="7"/>
        <v>0</v>
      </c>
      <c r="Y30" s="9">
        <f t="shared" si="8"/>
        <v>0</v>
      </c>
      <c r="Z30" s="9">
        <f t="shared" si="9"/>
        <v>0</v>
      </c>
      <c r="AA30" s="9">
        <f t="shared" si="10"/>
        <v>0</v>
      </c>
      <c r="AB30" s="80">
        <v>1.141</v>
      </c>
      <c r="AC30" s="9">
        <f t="shared" si="11"/>
        <v>0</v>
      </c>
      <c r="AD30" s="9">
        <f t="shared" si="12"/>
        <v>0</v>
      </c>
      <c r="AE30" s="9">
        <f t="shared" si="13"/>
        <v>0</v>
      </c>
      <c r="AF30" s="9">
        <f t="shared" si="14"/>
        <v>0</v>
      </c>
      <c r="AG30" s="9">
        <f t="shared" si="15"/>
        <v>0</v>
      </c>
      <c r="AH30" s="9">
        <f t="shared" si="16"/>
        <v>0</v>
      </c>
      <c r="AI30" s="9">
        <f t="shared" si="17"/>
        <v>0</v>
      </c>
      <c r="AJ30" s="9">
        <f t="shared" si="18"/>
        <v>0</v>
      </c>
      <c r="AK30" s="9">
        <f t="shared" si="19"/>
        <v>0</v>
      </c>
    </row>
    <row r="31" spans="1:37" s="10" customFormat="1" ht="18" customHeight="1">
      <c r="A31" s="84">
        <v>24</v>
      </c>
      <c r="B31" s="91" t="s">
        <v>55</v>
      </c>
      <c r="C31" s="76">
        <v>5</v>
      </c>
      <c r="D31" s="11"/>
      <c r="E31" s="11"/>
      <c r="F31" s="11"/>
      <c r="G31" s="11"/>
      <c r="H31" s="11"/>
      <c r="I31" s="11">
        <v>1</v>
      </c>
      <c r="J31" s="11"/>
      <c r="K31" s="11"/>
      <c r="L31" s="78">
        <v>38433</v>
      </c>
      <c r="M31" s="78">
        <v>1749</v>
      </c>
      <c r="N31" s="78">
        <f t="shared" si="0"/>
        <v>40182</v>
      </c>
      <c r="O31" s="90">
        <v>1.124</v>
      </c>
      <c r="P31" s="79">
        <v>10.545</v>
      </c>
      <c r="Q31" s="79">
        <v>0.258</v>
      </c>
      <c r="R31" s="78">
        <f t="shared" si="1"/>
        <v>410493</v>
      </c>
      <c r="S31" s="9">
        <f t="shared" si="2"/>
        <v>0</v>
      </c>
      <c r="T31" s="9">
        <f t="shared" si="3"/>
        <v>0</v>
      </c>
      <c r="U31" s="9">
        <f t="shared" si="4"/>
        <v>0</v>
      </c>
      <c r="V31" s="9">
        <f t="shared" si="5"/>
        <v>0</v>
      </c>
      <c r="W31" s="9">
        <f t="shared" si="6"/>
        <v>0</v>
      </c>
      <c r="X31" s="9">
        <f t="shared" si="7"/>
        <v>136.8</v>
      </c>
      <c r="Y31" s="9">
        <f t="shared" si="8"/>
        <v>0</v>
      </c>
      <c r="Z31" s="9">
        <f t="shared" si="9"/>
        <v>0</v>
      </c>
      <c r="AA31" s="9">
        <f t="shared" si="10"/>
        <v>136.8</v>
      </c>
      <c r="AB31" s="80">
        <v>0.826</v>
      </c>
      <c r="AC31" s="9">
        <f t="shared" si="11"/>
        <v>0</v>
      </c>
      <c r="AD31" s="9">
        <f t="shared" si="12"/>
        <v>0</v>
      </c>
      <c r="AE31" s="9">
        <f t="shared" si="13"/>
        <v>0</v>
      </c>
      <c r="AF31" s="9">
        <f t="shared" si="14"/>
        <v>0</v>
      </c>
      <c r="AG31" s="9">
        <f t="shared" si="15"/>
        <v>0</v>
      </c>
      <c r="AH31" s="9">
        <f t="shared" si="16"/>
        <v>113</v>
      </c>
      <c r="AI31" s="9">
        <f t="shared" si="17"/>
        <v>0</v>
      </c>
      <c r="AJ31" s="9">
        <f t="shared" si="18"/>
        <v>0</v>
      </c>
      <c r="AK31" s="9">
        <f t="shared" si="19"/>
        <v>113</v>
      </c>
    </row>
    <row r="32" spans="1:37" s="10" customFormat="1" ht="24" customHeight="1">
      <c r="A32" s="74">
        <v>25</v>
      </c>
      <c r="B32" s="91" t="s">
        <v>56</v>
      </c>
      <c r="C32" s="76">
        <v>5</v>
      </c>
      <c r="D32" s="11"/>
      <c r="E32" s="11"/>
      <c r="F32" s="11"/>
      <c r="G32" s="11"/>
      <c r="H32" s="11"/>
      <c r="I32" s="11"/>
      <c r="J32" s="11"/>
      <c r="K32" s="11"/>
      <c r="L32" s="78">
        <v>38433</v>
      </c>
      <c r="M32" s="78">
        <v>1749</v>
      </c>
      <c r="N32" s="78">
        <f t="shared" si="0"/>
        <v>40182</v>
      </c>
      <c r="O32" s="90">
        <v>1.124</v>
      </c>
      <c r="P32" s="79">
        <v>10.545</v>
      </c>
      <c r="Q32" s="79">
        <v>0.258</v>
      </c>
      <c r="R32" s="78">
        <f t="shared" si="1"/>
        <v>410493</v>
      </c>
      <c r="S32" s="9">
        <f t="shared" si="2"/>
        <v>0</v>
      </c>
      <c r="T32" s="9">
        <f t="shared" si="3"/>
        <v>0</v>
      </c>
      <c r="U32" s="9">
        <f t="shared" si="4"/>
        <v>0</v>
      </c>
      <c r="V32" s="9">
        <f t="shared" si="5"/>
        <v>0</v>
      </c>
      <c r="W32" s="9">
        <f t="shared" si="6"/>
        <v>0</v>
      </c>
      <c r="X32" s="9">
        <f t="shared" si="7"/>
        <v>0</v>
      </c>
      <c r="Y32" s="9">
        <f t="shared" si="8"/>
        <v>0</v>
      </c>
      <c r="Z32" s="9">
        <f t="shared" si="9"/>
        <v>0</v>
      </c>
      <c r="AA32" s="9">
        <f t="shared" si="10"/>
        <v>0</v>
      </c>
      <c r="AB32" s="80">
        <v>0.823</v>
      </c>
      <c r="AC32" s="9">
        <f t="shared" si="11"/>
        <v>0</v>
      </c>
      <c r="AD32" s="9">
        <f t="shared" si="12"/>
        <v>0</v>
      </c>
      <c r="AE32" s="9">
        <f t="shared" si="13"/>
        <v>0</v>
      </c>
      <c r="AF32" s="9">
        <f t="shared" si="14"/>
        <v>0</v>
      </c>
      <c r="AG32" s="9">
        <f t="shared" si="15"/>
        <v>0</v>
      </c>
      <c r="AH32" s="9">
        <f t="shared" si="16"/>
        <v>0</v>
      </c>
      <c r="AI32" s="9">
        <f t="shared" si="17"/>
        <v>0</v>
      </c>
      <c r="AJ32" s="9">
        <f t="shared" si="18"/>
        <v>0</v>
      </c>
      <c r="AK32" s="9">
        <f t="shared" si="19"/>
        <v>0</v>
      </c>
    </row>
    <row r="33" spans="1:37" s="10" customFormat="1" ht="37.5" customHeight="1">
      <c r="A33" s="84">
        <v>26</v>
      </c>
      <c r="B33" s="91" t="s">
        <v>57</v>
      </c>
      <c r="C33" s="76">
        <v>5</v>
      </c>
      <c r="D33" s="11"/>
      <c r="E33" s="11"/>
      <c r="F33" s="11"/>
      <c r="G33" s="11"/>
      <c r="H33" s="11"/>
      <c r="I33" s="11"/>
      <c r="J33" s="11"/>
      <c r="K33" s="11"/>
      <c r="L33" s="78">
        <v>38433</v>
      </c>
      <c r="M33" s="78">
        <v>1749</v>
      </c>
      <c r="N33" s="78">
        <f t="shared" si="0"/>
        <v>40182</v>
      </c>
      <c r="O33" s="90">
        <v>1.124</v>
      </c>
      <c r="P33" s="79">
        <v>10.545</v>
      </c>
      <c r="Q33" s="79">
        <v>0.258</v>
      </c>
      <c r="R33" s="78">
        <f t="shared" si="1"/>
        <v>410493</v>
      </c>
      <c r="S33" s="9">
        <f t="shared" si="2"/>
        <v>0</v>
      </c>
      <c r="T33" s="9">
        <f t="shared" si="3"/>
        <v>0</v>
      </c>
      <c r="U33" s="9">
        <f t="shared" si="4"/>
        <v>0</v>
      </c>
      <c r="V33" s="9">
        <f t="shared" si="5"/>
        <v>0</v>
      </c>
      <c r="W33" s="9">
        <f t="shared" si="6"/>
        <v>0</v>
      </c>
      <c r="X33" s="9">
        <f t="shared" si="7"/>
        <v>0</v>
      </c>
      <c r="Y33" s="9">
        <f t="shared" si="8"/>
        <v>0</v>
      </c>
      <c r="Z33" s="9">
        <f t="shared" si="9"/>
        <v>0</v>
      </c>
      <c r="AA33" s="9">
        <f t="shared" si="10"/>
        <v>0</v>
      </c>
      <c r="AB33" s="80">
        <v>0.8</v>
      </c>
      <c r="AC33" s="9">
        <f t="shared" si="11"/>
        <v>0</v>
      </c>
      <c r="AD33" s="9">
        <f t="shared" si="12"/>
        <v>0</v>
      </c>
      <c r="AE33" s="9">
        <f t="shared" si="13"/>
        <v>0</v>
      </c>
      <c r="AF33" s="9">
        <f t="shared" si="14"/>
        <v>0</v>
      </c>
      <c r="AG33" s="9">
        <f t="shared" si="15"/>
        <v>0</v>
      </c>
      <c r="AH33" s="9">
        <f t="shared" si="16"/>
        <v>0</v>
      </c>
      <c r="AI33" s="9">
        <f t="shared" si="17"/>
        <v>0</v>
      </c>
      <c r="AJ33" s="9">
        <f t="shared" si="18"/>
        <v>0</v>
      </c>
      <c r="AK33" s="9">
        <f t="shared" si="19"/>
        <v>0</v>
      </c>
    </row>
    <row r="34" spans="1:37" s="10" customFormat="1" ht="18.75" customHeight="1">
      <c r="A34" s="74">
        <v>27</v>
      </c>
      <c r="B34" s="91" t="s">
        <v>58</v>
      </c>
      <c r="C34" s="76">
        <v>5</v>
      </c>
      <c r="D34" s="11"/>
      <c r="E34" s="11"/>
      <c r="F34" s="11"/>
      <c r="G34" s="11"/>
      <c r="H34" s="11"/>
      <c r="I34" s="11"/>
      <c r="J34" s="11"/>
      <c r="K34" s="11"/>
      <c r="L34" s="78">
        <v>38433</v>
      </c>
      <c r="M34" s="78">
        <v>1749</v>
      </c>
      <c r="N34" s="78">
        <f t="shared" si="0"/>
        <v>40182</v>
      </c>
      <c r="O34" s="90">
        <v>1.124</v>
      </c>
      <c r="P34" s="79">
        <v>10.545</v>
      </c>
      <c r="Q34" s="79">
        <v>0.258</v>
      </c>
      <c r="R34" s="78">
        <f t="shared" si="1"/>
        <v>410493</v>
      </c>
      <c r="S34" s="9">
        <f t="shared" si="2"/>
        <v>0</v>
      </c>
      <c r="T34" s="9">
        <f t="shared" si="3"/>
        <v>0</v>
      </c>
      <c r="U34" s="9">
        <f t="shared" si="4"/>
        <v>0</v>
      </c>
      <c r="V34" s="9">
        <f t="shared" si="5"/>
        <v>0</v>
      </c>
      <c r="W34" s="9">
        <f t="shared" si="6"/>
        <v>0</v>
      </c>
      <c r="X34" s="9">
        <f t="shared" si="7"/>
        <v>0</v>
      </c>
      <c r="Y34" s="9">
        <f t="shared" si="8"/>
        <v>0</v>
      </c>
      <c r="Z34" s="9">
        <f t="shared" si="9"/>
        <v>0</v>
      </c>
      <c r="AA34" s="9">
        <f t="shared" si="10"/>
        <v>0</v>
      </c>
      <c r="AB34" s="80">
        <v>0.916</v>
      </c>
      <c r="AC34" s="9">
        <f t="shared" si="11"/>
        <v>0</v>
      </c>
      <c r="AD34" s="9">
        <f t="shared" si="12"/>
        <v>0</v>
      </c>
      <c r="AE34" s="9">
        <f t="shared" si="13"/>
        <v>0</v>
      </c>
      <c r="AF34" s="9">
        <f t="shared" si="14"/>
        <v>0</v>
      </c>
      <c r="AG34" s="9">
        <f t="shared" si="15"/>
        <v>0</v>
      </c>
      <c r="AH34" s="9">
        <f t="shared" si="16"/>
        <v>0</v>
      </c>
      <c r="AI34" s="9">
        <f t="shared" si="17"/>
        <v>0</v>
      </c>
      <c r="AJ34" s="9">
        <f t="shared" si="18"/>
        <v>0</v>
      </c>
      <c r="AK34" s="9">
        <f t="shared" si="19"/>
        <v>0</v>
      </c>
    </row>
    <row r="35" spans="1:37" s="10" customFormat="1" ht="32.25" customHeight="1">
      <c r="A35" s="84">
        <v>28</v>
      </c>
      <c r="B35" s="91" t="s">
        <v>59</v>
      </c>
      <c r="C35" s="76">
        <v>5</v>
      </c>
      <c r="D35" s="11"/>
      <c r="E35" s="11"/>
      <c r="F35" s="11"/>
      <c r="G35" s="11"/>
      <c r="H35" s="11"/>
      <c r="I35" s="11"/>
      <c r="J35" s="11"/>
      <c r="K35" s="11"/>
      <c r="L35" s="78">
        <v>38433</v>
      </c>
      <c r="M35" s="78">
        <v>1749</v>
      </c>
      <c r="N35" s="78">
        <f t="shared" si="0"/>
        <v>40182</v>
      </c>
      <c r="O35" s="90">
        <v>1.124</v>
      </c>
      <c r="P35" s="79">
        <v>10.545</v>
      </c>
      <c r="Q35" s="79">
        <v>0.258</v>
      </c>
      <c r="R35" s="78">
        <f t="shared" si="1"/>
        <v>410493</v>
      </c>
      <c r="S35" s="9">
        <f t="shared" si="2"/>
        <v>0</v>
      </c>
      <c r="T35" s="9">
        <f t="shared" si="3"/>
        <v>0</v>
      </c>
      <c r="U35" s="9">
        <f t="shared" si="4"/>
        <v>0</v>
      </c>
      <c r="V35" s="9">
        <f t="shared" si="5"/>
        <v>0</v>
      </c>
      <c r="W35" s="9">
        <f t="shared" si="6"/>
        <v>0</v>
      </c>
      <c r="X35" s="9">
        <f t="shared" si="7"/>
        <v>0</v>
      </c>
      <c r="Y35" s="9">
        <f t="shared" si="8"/>
        <v>0</v>
      </c>
      <c r="Z35" s="9">
        <f t="shared" si="9"/>
        <v>0</v>
      </c>
      <c r="AA35" s="9">
        <f t="shared" si="10"/>
        <v>0</v>
      </c>
      <c r="AB35" s="80">
        <v>0.789</v>
      </c>
      <c r="AC35" s="9">
        <f t="shared" si="11"/>
        <v>0</v>
      </c>
      <c r="AD35" s="9">
        <f t="shared" si="12"/>
        <v>0</v>
      </c>
      <c r="AE35" s="9">
        <f t="shared" si="13"/>
        <v>0</v>
      </c>
      <c r="AF35" s="9">
        <f t="shared" si="14"/>
        <v>0</v>
      </c>
      <c r="AG35" s="9">
        <f t="shared" si="15"/>
        <v>0</v>
      </c>
      <c r="AH35" s="9">
        <f t="shared" si="16"/>
        <v>0</v>
      </c>
      <c r="AI35" s="9">
        <f t="shared" si="17"/>
        <v>0</v>
      </c>
      <c r="AJ35" s="9">
        <f t="shared" si="18"/>
        <v>0</v>
      </c>
      <c r="AK35" s="9">
        <f t="shared" si="19"/>
        <v>0</v>
      </c>
    </row>
    <row r="36" spans="1:37" s="10" customFormat="1" ht="31.5">
      <c r="A36" s="74">
        <v>29</v>
      </c>
      <c r="B36" s="91" t="s">
        <v>60</v>
      </c>
      <c r="C36" s="76">
        <v>5</v>
      </c>
      <c r="D36" s="11"/>
      <c r="E36" s="11"/>
      <c r="F36" s="11"/>
      <c r="G36" s="11"/>
      <c r="H36" s="11"/>
      <c r="I36" s="11"/>
      <c r="J36" s="11">
        <v>1</v>
      </c>
      <c r="K36" s="11"/>
      <c r="L36" s="78">
        <v>38433</v>
      </c>
      <c r="M36" s="78">
        <v>1749</v>
      </c>
      <c r="N36" s="78">
        <f t="shared" si="0"/>
        <v>40182</v>
      </c>
      <c r="O36" s="90">
        <v>1.124</v>
      </c>
      <c r="P36" s="79">
        <v>10.545</v>
      </c>
      <c r="Q36" s="79">
        <v>0.258</v>
      </c>
      <c r="R36" s="78">
        <f t="shared" si="1"/>
        <v>410493</v>
      </c>
      <c r="S36" s="9">
        <f t="shared" si="2"/>
        <v>0</v>
      </c>
      <c r="T36" s="9">
        <f t="shared" si="3"/>
        <v>0</v>
      </c>
      <c r="U36" s="9">
        <f t="shared" si="4"/>
        <v>0</v>
      </c>
      <c r="V36" s="9">
        <f t="shared" si="5"/>
        <v>0</v>
      </c>
      <c r="W36" s="9">
        <f t="shared" si="6"/>
        <v>0</v>
      </c>
      <c r="X36" s="9">
        <f t="shared" si="7"/>
        <v>0</v>
      </c>
      <c r="Y36" s="9">
        <f t="shared" si="8"/>
        <v>136.8</v>
      </c>
      <c r="Z36" s="9">
        <f t="shared" si="9"/>
        <v>0</v>
      </c>
      <c r="AA36" s="9">
        <f t="shared" si="10"/>
        <v>136.8</v>
      </c>
      <c r="AB36" s="80">
        <v>0.89</v>
      </c>
      <c r="AC36" s="9">
        <f t="shared" si="11"/>
        <v>0</v>
      </c>
      <c r="AD36" s="9">
        <f t="shared" si="12"/>
        <v>0</v>
      </c>
      <c r="AE36" s="9">
        <f t="shared" si="13"/>
        <v>0</v>
      </c>
      <c r="AF36" s="9">
        <f t="shared" si="14"/>
        <v>0</v>
      </c>
      <c r="AG36" s="9">
        <f t="shared" si="15"/>
        <v>0</v>
      </c>
      <c r="AH36" s="9">
        <f t="shared" si="16"/>
        <v>0</v>
      </c>
      <c r="AI36" s="9">
        <f t="shared" si="17"/>
        <v>121.8</v>
      </c>
      <c r="AJ36" s="9">
        <f t="shared" si="18"/>
        <v>0</v>
      </c>
      <c r="AK36" s="9">
        <f t="shared" si="19"/>
        <v>121.8</v>
      </c>
    </row>
    <row r="37" spans="1:37" s="10" customFormat="1" ht="15.75">
      <c r="A37" s="84">
        <v>30</v>
      </c>
      <c r="B37" s="91" t="s">
        <v>61</v>
      </c>
      <c r="C37" s="76">
        <v>5</v>
      </c>
      <c r="D37" s="11"/>
      <c r="E37" s="11"/>
      <c r="F37" s="11"/>
      <c r="G37" s="11"/>
      <c r="H37" s="11">
        <v>2</v>
      </c>
      <c r="I37" s="11"/>
      <c r="J37" s="11"/>
      <c r="K37" s="11"/>
      <c r="L37" s="78">
        <v>38433</v>
      </c>
      <c r="M37" s="78">
        <v>1749</v>
      </c>
      <c r="N37" s="78">
        <f t="shared" si="0"/>
        <v>40182</v>
      </c>
      <c r="O37" s="90">
        <v>1.124</v>
      </c>
      <c r="P37" s="79">
        <v>10.545</v>
      </c>
      <c r="Q37" s="79">
        <v>0.258</v>
      </c>
      <c r="R37" s="78">
        <f t="shared" si="1"/>
        <v>410493</v>
      </c>
      <c r="S37" s="9">
        <f t="shared" si="2"/>
        <v>0</v>
      </c>
      <c r="T37" s="9">
        <f t="shared" si="3"/>
        <v>0</v>
      </c>
      <c r="U37" s="9">
        <f t="shared" si="4"/>
        <v>0</v>
      </c>
      <c r="V37" s="9">
        <f t="shared" si="5"/>
        <v>0</v>
      </c>
      <c r="W37" s="9">
        <f t="shared" si="6"/>
        <v>273.7</v>
      </c>
      <c r="X37" s="9">
        <f t="shared" si="7"/>
        <v>0</v>
      </c>
      <c r="Y37" s="9">
        <f t="shared" si="8"/>
        <v>0</v>
      </c>
      <c r="Z37" s="9">
        <f t="shared" si="9"/>
        <v>0</v>
      </c>
      <c r="AA37" s="9">
        <f t="shared" si="10"/>
        <v>273.7</v>
      </c>
      <c r="AB37" s="80">
        <v>1.177</v>
      </c>
      <c r="AC37" s="9">
        <f t="shared" si="11"/>
        <v>0</v>
      </c>
      <c r="AD37" s="9">
        <f t="shared" si="12"/>
        <v>0</v>
      </c>
      <c r="AE37" s="9">
        <f t="shared" si="13"/>
        <v>0</v>
      </c>
      <c r="AF37" s="9">
        <f t="shared" si="14"/>
        <v>0</v>
      </c>
      <c r="AG37" s="9">
        <f t="shared" si="15"/>
        <v>322.1</v>
      </c>
      <c r="AH37" s="9">
        <f t="shared" si="16"/>
        <v>0</v>
      </c>
      <c r="AI37" s="9">
        <f t="shared" si="17"/>
        <v>0</v>
      </c>
      <c r="AJ37" s="9">
        <f t="shared" si="18"/>
        <v>0</v>
      </c>
      <c r="AK37" s="9">
        <f t="shared" si="19"/>
        <v>322.1</v>
      </c>
    </row>
    <row r="38" spans="1:37" s="10" customFormat="1" ht="31.5">
      <c r="A38" s="74">
        <v>31</v>
      </c>
      <c r="B38" s="91" t="s">
        <v>62</v>
      </c>
      <c r="C38" s="76">
        <v>5</v>
      </c>
      <c r="D38" s="11"/>
      <c r="E38" s="11"/>
      <c r="F38" s="11"/>
      <c r="G38" s="11"/>
      <c r="H38" s="11"/>
      <c r="I38" s="11"/>
      <c r="J38" s="11"/>
      <c r="K38" s="11"/>
      <c r="L38" s="78">
        <v>38433</v>
      </c>
      <c r="M38" s="78">
        <v>1749</v>
      </c>
      <c r="N38" s="78">
        <f t="shared" si="0"/>
        <v>40182</v>
      </c>
      <c r="O38" s="90">
        <v>1.124</v>
      </c>
      <c r="P38" s="79">
        <v>10.545</v>
      </c>
      <c r="Q38" s="79">
        <v>0.258</v>
      </c>
      <c r="R38" s="78">
        <f t="shared" si="1"/>
        <v>410493</v>
      </c>
      <c r="S38" s="9">
        <f t="shared" si="2"/>
        <v>0</v>
      </c>
      <c r="T38" s="9">
        <f t="shared" si="3"/>
        <v>0</v>
      </c>
      <c r="U38" s="9">
        <f t="shared" si="4"/>
        <v>0</v>
      </c>
      <c r="V38" s="9">
        <f t="shared" si="5"/>
        <v>0</v>
      </c>
      <c r="W38" s="9">
        <f t="shared" si="6"/>
        <v>0</v>
      </c>
      <c r="X38" s="9">
        <f t="shared" si="7"/>
        <v>0</v>
      </c>
      <c r="Y38" s="9">
        <f t="shared" si="8"/>
        <v>0</v>
      </c>
      <c r="Z38" s="9">
        <f t="shared" si="9"/>
        <v>0</v>
      </c>
      <c r="AA38" s="9">
        <f t="shared" si="10"/>
        <v>0</v>
      </c>
      <c r="AB38" s="80">
        <v>0.81</v>
      </c>
      <c r="AC38" s="9">
        <f t="shared" si="11"/>
        <v>0</v>
      </c>
      <c r="AD38" s="9">
        <f t="shared" si="12"/>
        <v>0</v>
      </c>
      <c r="AE38" s="9">
        <f t="shared" si="13"/>
        <v>0</v>
      </c>
      <c r="AF38" s="9">
        <f t="shared" si="14"/>
        <v>0</v>
      </c>
      <c r="AG38" s="9">
        <f t="shared" si="15"/>
        <v>0</v>
      </c>
      <c r="AH38" s="9">
        <f t="shared" si="16"/>
        <v>0</v>
      </c>
      <c r="AI38" s="9">
        <f t="shared" si="17"/>
        <v>0</v>
      </c>
      <c r="AJ38" s="9">
        <f t="shared" si="18"/>
        <v>0</v>
      </c>
      <c r="AK38" s="9">
        <f t="shared" si="19"/>
        <v>0</v>
      </c>
    </row>
    <row r="39" spans="1:37" s="10" customFormat="1" ht="18.75" customHeight="1">
      <c r="A39" s="84">
        <v>32</v>
      </c>
      <c r="B39" s="91" t="s">
        <v>63</v>
      </c>
      <c r="C39" s="76">
        <v>5</v>
      </c>
      <c r="D39" s="11"/>
      <c r="E39" s="11"/>
      <c r="F39" s="11"/>
      <c r="G39" s="11"/>
      <c r="H39" s="11"/>
      <c r="I39" s="11"/>
      <c r="J39" s="11">
        <v>1</v>
      </c>
      <c r="K39" s="11"/>
      <c r="L39" s="78">
        <v>38433</v>
      </c>
      <c r="M39" s="78">
        <v>1749</v>
      </c>
      <c r="N39" s="78">
        <f t="shared" si="0"/>
        <v>40182</v>
      </c>
      <c r="O39" s="90">
        <v>1.124</v>
      </c>
      <c r="P39" s="79">
        <v>10.545</v>
      </c>
      <c r="Q39" s="79">
        <v>0.258</v>
      </c>
      <c r="R39" s="78">
        <f t="shared" si="1"/>
        <v>410493</v>
      </c>
      <c r="S39" s="9">
        <f t="shared" si="2"/>
        <v>0</v>
      </c>
      <c r="T39" s="9">
        <f t="shared" si="3"/>
        <v>0</v>
      </c>
      <c r="U39" s="9">
        <f t="shared" si="4"/>
        <v>0</v>
      </c>
      <c r="V39" s="9">
        <f t="shared" si="5"/>
        <v>0</v>
      </c>
      <c r="W39" s="9">
        <f t="shared" si="6"/>
        <v>0</v>
      </c>
      <c r="X39" s="9">
        <f t="shared" si="7"/>
        <v>0</v>
      </c>
      <c r="Y39" s="9">
        <f t="shared" si="8"/>
        <v>136.8</v>
      </c>
      <c r="Z39" s="9">
        <f t="shared" si="9"/>
        <v>0</v>
      </c>
      <c r="AA39" s="9">
        <f t="shared" si="10"/>
        <v>136.8</v>
      </c>
      <c r="AB39" s="80">
        <v>0.901</v>
      </c>
      <c r="AC39" s="9">
        <f t="shared" si="11"/>
        <v>0</v>
      </c>
      <c r="AD39" s="9">
        <f t="shared" si="12"/>
        <v>0</v>
      </c>
      <c r="AE39" s="9">
        <f t="shared" si="13"/>
        <v>0</v>
      </c>
      <c r="AF39" s="9">
        <f t="shared" si="14"/>
        <v>0</v>
      </c>
      <c r="AG39" s="9">
        <f t="shared" si="15"/>
        <v>0</v>
      </c>
      <c r="AH39" s="9">
        <f t="shared" si="16"/>
        <v>0</v>
      </c>
      <c r="AI39" s="9">
        <f t="shared" si="17"/>
        <v>123.3</v>
      </c>
      <c r="AJ39" s="9">
        <f t="shared" si="18"/>
        <v>0</v>
      </c>
      <c r="AK39" s="9">
        <f t="shared" si="19"/>
        <v>123.3</v>
      </c>
    </row>
    <row r="40" spans="1:37" s="10" customFormat="1" ht="30.75" customHeight="1">
      <c r="A40" s="74">
        <v>33</v>
      </c>
      <c r="B40" s="91" t="s">
        <v>64</v>
      </c>
      <c r="C40" s="76">
        <v>5</v>
      </c>
      <c r="D40" s="11"/>
      <c r="E40" s="11"/>
      <c r="F40" s="11"/>
      <c r="G40" s="11"/>
      <c r="H40" s="11"/>
      <c r="I40" s="11"/>
      <c r="J40" s="11"/>
      <c r="K40" s="11">
        <v>1</v>
      </c>
      <c r="L40" s="78">
        <v>38433</v>
      </c>
      <c r="M40" s="78">
        <v>1749</v>
      </c>
      <c r="N40" s="78">
        <f t="shared" si="0"/>
        <v>40182</v>
      </c>
      <c r="O40" s="90">
        <v>1.124</v>
      </c>
      <c r="P40" s="79">
        <v>10.545</v>
      </c>
      <c r="Q40" s="79">
        <v>0.258</v>
      </c>
      <c r="R40" s="78">
        <f t="shared" si="1"/>
        <v>410493</v>
      </c>
      <c r="S40" s="9">
        <f t="shared" si="2"/>
        <v>0</v>
      </c>
      <c r="T40" s="9">
        <f t="shared" si="3"/>
        <v>0</v>
      </c>
      <c r="U40" s="9">
        <f t="shared" si="4"/>
        <v>0</v>
      </c>
      <c r="V40" s="9">
        <f t="shared" si="5"/>
        <v>0</v>
      </c>
      <c r="W40" s="9">
        <f t="shared" si="6"/>
        <v>0</v>
      </c>
      <c r="X40" s="9">
        <f t="shared" si="7"/>
        <v>0</v>
      </c>
      <c r="Y40" s="9">
        <f t="shared" si="8"/>
        <v>0</v>
      </c>
      <c r="Z40" s="9">
        <f t="shared" si="9"/>
        <v>136.8</v>
      </c>
      <c r="AA40" s="9">
        <f t="shared" si="10"/>
        <v>136.8</v>
      </c>
      <c r="AB40" s="80">
        <v>0.899</v>
      </c>
      <c r="AC40" s="9">
        <f t="shared" si="11"/>
        <v>0</v>
      </c>
      <c r="AD40" s="9">
        <f t="shared" si="12"/>
        <v>0</v>
      </c>
      <c r="AE40" s="9">
        <f t="shared" si="13"/>
        <v>0</v>
      </c>
      <c r="AF40" s="9">
        <f t="shared" si="14"/>
        <v>0</v>
      </c>
      <c r="AG40" s="9">
        <f t="shared" si="15"/>
        <v>0</v>
      </c>
      <c r="AH40" s="9">
        <f t="shared" si="16"/>
        <v>0</v>
      </c>
      <c r="AI40" s="9">
        <f t="shared" si="17"/>
        <v>0</v>
      </c>
      <c r="AJ40" s="9">
        <f t="shared" si="18"/>
        <v>123</v>
      </c>
      <c r="AK40" s="9">
        <f t="shared" si="19"/>
        <v>123</v>
      </c>
    </row>
    <row r="41" spans="1:37" s="10" customFormat="1" ht="29.25" customHeight="1">
      <c r="A41" s="84">
        <v>34</v>
      </c>
      <c r="B41" s="91" t="s">
        <v>65</v>
      </c>
      <c r="C41" s="76">
        <v>5</v>
      </c>
      <c r="D41" s="11"/>
      <c r="E41" s="11"/>
      <c r="F41" s="11"/>
      <c r="G41" s="11"/>
      <c r="H41" s="11">
        <v>1</v>
      </c>
      <c r="I41" s="11"/>
      <c r="J41" s="11"/>
      <c r="K41" s="11"/>
      <c r="L41" s="78">
        <v>38433</v>
      </c>
      <c r="M41" s="78">
        <v>1749</v>
      </c>
      <c r="N41" s="78">
        <f t="shared" si="0"/>
        <v>40182</v>
      </c>
      <c r="O41" s="90">
        <v>1.124</v>
      </c>
      <c r="P41" s="79">
        <v>10.545</v>
      </c>
      <c r="Q41" s="79">
        <v>0.258</v>
      </c>
      <c r="R41" s="78">
        <f t="shared" si="1"/>
        <v>410493</v>
      </c>
      <c r="S41" s="9">
        <f t="shared" si="2"/>
        <v>0</v>
      </c>
      <c r="T41" s="9">
        <f t="shared" si="3"/>
        <v>0</v>
      </c>
      <c r="U41" s="9">
        <f t="shared" si="4"/>
        <v>0</v>
      </c>
      <c r="V41" s="9">
        <f t="shared" si="5"/>
        <v>0</v>
      </c>
      <c r="W41" s="9">
        <f t="shared" si="6"/>
        <v>136.8</v>
      </c>
      <c r="X41" s="9">
        <f t="shared" si="7"/>
        <v>0</v>
      </c>
      <c r="Y41" s="9">
        <f t="shared" si="8"/>
        <v>0</v>
      </c>
      <c r="Z41" s="9">
        <f t="shared" si="9"/>
        <v>0</v>
      </c>
      <c r="AA41" s="9">
        <f t="shared" si="10"/>
        <v>136.8</v>
      </c>
      <c r="AB41" s="80">
        <v>0.938</v>
      </c>
      <c r="AC41" s="9">
        <f t="shared" si="11"/>
        <v>0</v>
      </c>
      <c r="AD41" s="9">
        <f t="shared" si="12"/>
        <v>0</v>
      </c>
      <c r="AE41" s="9">
        <f t="shared" si="13"/>
        <v>0</v>
      </c>
      <c r="AF41" s="9">
        <f t="shared" si="14"/>
        <v>0</v>
      </c>
      <c r="AG41" s="9">
        <f t="shared" si="15"/>
        <v>128.3</v>
      </c>
      <c r="AH41" s="9">
        <f t="shared" si="16"/>
        <v>0</v>
      </c>
      <c r="AI41" s="9">
        <f t="shared" si="17"/>
        <v>0</v>
      </c>
      <c r="AJ41" s="9">
        <f t="shared" si="18"/>
        <v>0</v>
      </c>
      <c r="AK41" s="9">
        <f t="shared" si="19"/>
        <v>128.3</v>
      </c>
    </row>
    <row r="42" spans="1:37" s="10" customFormat="1" ht="29.25" customHeight="1">
      <c r="A42" s="74">
        <v>35</v>
      </c>
      <c r="B42" s="91" t="s">
        <v>66</v>
      </c>
      <c r="C42" s="76">
        <v>5</v>
      </c>
      <c r="D42" s="11"/>
      <c r="E42" s="11"/>
      <c r="F42" s="11"/>
      <c r="G42" s="11"/>
      <c r="H42" s="11">
        <v>1</v>
      </c>
      <c r="I42" s="11"/>
      <c r="J42" s="11"/>
      <c r="K42" s="11"/>
      <c r="L42" s="78">
        <v>38433</v>
      </c>
      <c r="M42" s="78">
        <v>1749</v>
      </c>
      <c r="N42" s="78">
        <f t="shared" si="0"/>
        <v>40182</v>
      </c>
      <c r="O42" s="90">
        <v>1.124</v>
      </c>
      <c r="P42" s="79">
        <v>10.545</v>
      </c>
      <c r="Q42" s="79">
        <v>0.258</v>
      </c>
      <c r="R42" s="78">
        <f t="shared" si="1"/>
        <v>410493</v>
      </c>
      <c r="S42" s="9">
        <f t="shared" si="2"/>
        <v>0</v>
      </c>
      <c r="T42" s="9">
        <f t="shared" si="3"/>
        <v>0</v>
      </c>
      <c r="U42" s="9">
        <f t="shared" si="4"/>
        <v>0</v>
      </c>
      <c r="V42" s="9">
        <f t="shared" si="5"/>
        <v>0</v>
      </c>
      <c r="W42" s="9">
        <f t="shared" si="6"/>
        <v>136.8</v>
      </c>
      <c r="X42" s="9">
        <f t="shared" si="7"/>
        <v>0</v>
      </c>
      <c r="Y42" s="9">
        <f t="shared" si="8"/>
        <v>0</v>
      </c>
      <c r="Z42" s="9">
        <f t="shared" si="9"/>
        <v>0</v>
      </c>
      <c r="AA42" s="9">
        <f t="shared" si="10"/>
        <v>136.8</v>
      </c>
      <c r="AB42" s="80">
        <v>1.01</v>
      </c>
      <c r="AC42" s="9">
        <f t="shared" si="11"/>
        <v>0</v>
      </c>
      <c r="AD42" s="9">
        <f t="shared" si="12"/>
        <v>0</v>
      </c>
      <c r="AE42" s="9">
        <f t="shared" si="13"/>
        <v>0</v>
      </c>
      <c r="AF42" s="9">
        <f t="shared" si="14"/>
        <v>0</v>
      </c>
      <c r="AG42" s="9">
        <f t="shared" si="15"/>
        <v>138.2</v>
      </c>
      <c r="AH42" s="9">
        <f t="shared" si="16"/>
        <v>0</v>
      </c>
      <c r="AI42" s="9">
        <f t="shared" si="17"/>
        <v>0</v>
      </c>
      <c r="AJ42" s="9">
        <f t="shared" si="18"/>
        <v>0</v>
      </c>
      <c r="AK42" s="9">
        <f t="shared" si="19"/>
        <v>138.2</v>
      </c>
    </row>
    <row r="43" spans="1:37" s="10" customFormat="1" ht="47.25">
      <c r="A43" s="84">
        <v>36</v>
      </c>
      <c r="B43" s="91" t="s">
        <v>67</v>
      </c>
      <c r="C43" s="102">
        <v>5</v>
      </c>
      <c r="D43" s="11"/>
      <c r="E43" s="11"/>
      <c r="F43" s="11"/>
      <c r="G43" s="11"/>
      <c r="H43" s="11">
        <v>2</v>
      </c>
      <c r="I43" s="11"/>
      <c r="J43" s="11"/>
      <c r="K43" s="11"/>
      <c r="L43" s="78">
        <v>38433</v>
      </c>
      <c r="M43" s="78">
        <v>1749</v>
      </c>
      <c r="N43" s="78">
        <f t="shared" si="0"/>
        <v>40182</v>
      </c>
      <c r="O43" s="90">
        <v>1.124</v>
      </c>
      <c r="P43" s="79">
        <v>10.545</v>
      </c>
      <c r="Q43" s="79">
        <v>0.258</v>
      </c>
      <c r="R43" s="78">
        <f t="shared" si="1"/>
        <v>410493</v>
      </c>
      <c r="S43" s="9">
        <f t="shared" si="2"/>
        <v>0</v>
      </c>
      <c r="T43" s="9">
        <f t="shared" si="3"/>
        <v>0</v>
      </c>
      <c r="U43" s="9">
        <f t="shared" si="4"/>
        <v>0</v>
      </c>
      <c r="V43" s="9">
        <f t="shared" si="5"/>
        <v>0</v>
      </c>
      <c r="W43" s="9">
        <f t="shared" si="6"/>
        <v>273.7</v>
      </c>
      <c r="X43" s="9">
        <f t="shared" si="7"/>
        <v>0</v>
      </c>
      <c r="Y43" s="9">
        <f t="shared" si="8"/>
        <v>0</v>
      </c>
      <c r="Z43" s="9">
        <f t="shared" si="9"/>
        <v>0</v>
      </c>
      <c r="AA43" s="9">
        <f t="shared" si="10"/>
        <v>273.7</v>
      </c>
      <c r="AB43" s="80">
        <v>0.925</v>
      </c>
      <c r="AC43" s="9">
        <f t="shared" si="11"/>
        <v>0</v>
      </c>
      <c r="AD43" s="9">
        <f t="shared" si="12"/>
        <v>0</v>
      </c>
      <c r="AE43" s="9">
        <f t="shared" si="13"/>
        <v>0</v>
      </c>
      <c r="AF43" s="9">
        <f t="shared" si="14"/>
        <v>0</v>
      </c>
      <c r="AG43" s="9">
        <f t="shared" si="15"/>
        <v>253.2</v>
      </c>
      <c r="AH43" s="9">
        <f t="shared" si="16"/>
        <v>0</v>
      </c>
      <c r="AI43" s="9">
        <f t="shared" si="17"/>
        <v>0</v>
      </c>
      <c r="AJ43" s="9">
        <f t="shared" si="18"/>
        <v>0</v>
      </c>
      <c r="AK43" s="9">
        <f t="shared" si="19"/>
        <v>253.2</v>
      </c>
    </row>
    <row r="44" spans="1:37" s="10" customFormat="1" ht="32.25" thickBot="1">
      <c r="A44" s="74">
        <v>37</v>
      </c>
      <c r="B44" s="93" t="s">
        <v>68</v>
      </c>
      <c r="C44" s="102">
        <v>5</v>
      </c>
      <c r="D44" s="11"/>
      <c r="E44" s="11"/>
      <c r="F44" s="11"/>
      <c r="G44" s="11"/>
      <c r="H44" s="11"/>
      <c r="I44" s="11"/>
      <c r="J44" s="11"/>
      <c r="K44" s="11"/>
      <c r="L44" s="78">
        <v>38433</v>
      </c>
      <c r="M44" s="78">
        <v>1749</v>
      </c>
      <c r="N44" s="78">
        <f t="shared" si="0"/>
        <v>40182</v>
      </c>
      <c r="O44" s="90">
        <v>1.124</v>
      </c>
      <c r="P44" s="79">
        <v>10.545</v>
      </c>
      <c r="Q44" s="79">
        <v>0.258</v>
      </c>
      <c r="R44" s="78">
        <f t="shared" si="1"/>
        <v>410493</v>
      </c>
      <c r="S44" s="9">
        <f t="shared" si="2"/>
        <v>0</v>
      </c>
      <c r="T44" s="9">
        <f t="shared" si="3"/>
        <v>0</v>
      </c>
      <c r="U44" s="9">
        <f t="shared" si="4"/>
        <v>0</v>
      </c>
      <c r="V44" s="9">
        <f t="shared" si="5"/>
        <v>0</v>
      </c>
      <c r="W44" s="9">
        <f t="shared" si="6"/>
        <v>0</v>
      </c>
      <c r="X44" s="9">
        <f t="shared" si="7"/>
        <v>0</v>
      </c>
      <c r="Y44" s="9">
        <f t="shared" si="8"/>
        <v>0</v>
      </c>
      <c r="Z44" s="9">
        <f t="shared" si="9"/>
        <v>0</v>
      </c>
      <c r="AA44" s="9">
        <f t="shared" si="10"/>
        <v>0</v>
      </c>
      <c r="AB44" s="80">
        <v>0.753</v>
      </c>
      <c r="AC44" s="9">
        <f t="shared" si="11"/>
        <v>0</v>
      </c>
      <c r="AD44" s="9">
        <f t="shared" si="12"/>
        <v>0</v>
      </c>
      <c r="AE44" s="9">
        <f t="shared" si="13"/>
        <v>0</v>
      </c>
      <c r="AF44" s="9">
        <f t="shared" si="14"/>
        <v>0</v>
      </c>
      <c r="AG44" s="9">
        <f t="shared" si="15"/>
        <v>0</v>
      </c>
      <c r="AH44" s="9">
        <f t="shared" si="16"/>
        <v>0</v>
      </c>
      <c r="AI44" s="9">
        <f t="shared" si="17"/>
        <v>0</v>
      </c>
      <c r="AJ44" s="9">
        <f t="shared" si="18"/>
        <v>0</v>
      </c>
      <c r="AK44" s="9">
        <f t="shared" si="19"/>
        <v>0</v>
      </c>
    </row>
    <row r="45" spans="1:37" s="10" customFormat="1" ht="16.5" thickBot="1">
      <c r="A45" s="95"/>
      <c r="B45" s="96" t="s">
        <v>69</v>
      </c>
      <c r="C45" s="37"/>
      <c r="D45" s="38">
        <f>SUM(D8:D43)</f>
        <v>1</v>
      </c>
      <c r="E45" s="38">
        <f aca="true" t="shared" si="20" ref="E45:K45">SUM(E8:E43)</f>
        <v>0</v>
      </c>
      <c r="F45" s="38">
        <f t="shared" si="20"/>
        <v>2</v>
      </c>
      <c r="G45" s="38">
        <f t="shared" si="20"/>
        <v>1</v>
      </c>
      <c r="H45" s="38">
        <f t="shared" si="20"/>
        <v>25</v>
      </c>
      <c r="I45" s="38">
        <f t="shared" si="20"/>
        <v>18</v>
      </c>
      <c r="J45" s="38">
        <f t="shared" si="20"/>
        <v>5</v>
      </c>
      <c r="K45" s="38">
        <f t="shared" si="20"/>
        <v>12</v>
      </c>
      <c r="L45" s="12"/>
      <c r="M45" s="12"/>
      <c r="N45" s="12"/>
      <c r="O45" s="12"/>
      <c r="P45" s="12"/>
      <c r="Q45" s="12"/>
      <c r="R45" s="12"/>
      <c r="S45" s="9">
        <f aca="true" t="shared" si="21" ref="S45:AA45">SUM(S8:S44)</f>
        <v>136.8</v>
      </c>
      <c r="T45" s="9">
        <f t="shared" si="21"/>
        <v>0</v>
      </c>
      <c r="U45" s="9">
        <f t="shared" si="21"/>
        <v>272</v>
      </c>
      <c r="V45" s="9">
        <f t="shared" si="21"/>
        <v>135.2</v>
      </c>
      <c r="W45" s="9">
        <f t="shared" si="21"/>
        <v>3408.1000000000004</v>
      </c>
      <c r="X45" s="9">
        <f t="shared" si="21"/>
        <v>2442.3</v>
      </c>
      <c r="Y45" s="9">
        <f t="shared" si="21"/>
        <v>682.4000000000001</v>
      </c>
      <c r="Z45" s="9">
        <f t="shared" si="21"/>
        <v>1635.3999999999996</v>
      </c>
      <c r="AA45" s="9">
        <f t="shared" si="21"/>
        <v>8712.2</v>
      </c>
      <c r="AB45" s="40"/>
      <c r="AC45" s="9">
        <f>SUM(AC8:AC44)</f>
        <v>153.2</v>
      </c>
      <c r="AD45" s="9">
        <f aca="true" t="shared" si="22" ref="AD45:AK45">SUM(AD8:AD44)</f>
        <v>0</v>
      </c>
      <c r="AE45" s="9">
        <f t="shared" si="22"/>
        <v>255.2</v>
      </c>
      <c r="AF45" s="9">
        <f t="shared" si="22"/>
        <v>114.6</v>
      </c>
      <c r="AG45" s="9">
        <f t="shared" si="22"/>
        <v>3483.3</v>
      </c>
      <c r="AH45" s="9">
        <f t="shared" si="22"/>
        <v>2168</v>
      </c>
      <c r="AI45" s="9">
        <f t="shared" si="22"/>
        <v>629.3</v>
      </c>
      <c r="AJ45" s="9">
        <f t="shared" si="22"/>
        <v>1558.8</v>
      </c>
      <c r="AK45" s="9">
        <f t="shared" si="22"/>
        <v>8362.400000000001</v>
      </c>
    </row>
    <row r="46" spans="1:29" s="3" customFormat="1" ht="18" customHeight="1">
      <c r="A46" s="13"/>
      <c r="B46" s="14"/>
      <c r="C46" s="14"/>
      <c r="D46" s="15"/>
      <c r="E46" s="14"/>
      <c r="F46" s="14"/>
      <c r="G46" s="14"/>
      <c r="H46" s="16"/>
      <c r="I46" s="16"/>
      <c r="J46" s="16"/>
      <c r="K46" s="16"/>
      <c r="L46" s="16"/>
      <c r="M46" s="16"/>
      <c r="N46" s="16"/>
      <c r="O46" s="17"/>
      <c r="P46" s="17"/>
      <c r="Q46" s="17"/>
      <c r="R46" s="17"/>
      <c r="AA46" s="18"/>
      <c r="AB46" s="4"/>
      <c r="AC46" s="4"/>
    </row>
    <row r="47" spans="1:29" s="3" customFormat="1" ht="15.75">
      <c r="A47" s="19"/>
      <c r="B47" s="20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AB47" s="4"/>
      <c r="AC47" s="4"/>
    </row>
    <row r="48" spans="1:29" s="3" customFormat="1" ht="15.75">
      <c r="A48" s="19"/>
      <c r="B48" s="20"/>
      <c r="C48" s="2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AB48" s="4"/>
      <c r="AC48" s="4"/>
    </row>
    <row r="49" spans="1:29" s="3" customFormat="1" ht="15.75">
      <c r="A49" s="19"/>
      <c r="B49" s="20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AB49" s="4"/>
      <c r="AC49" s="4"/>
    </row>
    <row r="50" spans="1:29" s="3" customFormat="1" ht="15.75">
      <c r="A50" s="19"/>
      <c r="B50" s="20"/>
      <c r="C50" s="2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AB50" s="4"/>
      <c r="AC50" s="4"/>
    </row>
    <row r="51" spans="1:29" s="3" customFormat="1" ht="15.75">
      <c r="A51" s="19"/>
      <c r="B51" s="22"/>
      <c r="C51" s="2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AB51" s="4"/>
      <c r="AC51" s="4"/>
    </row>
    <row r="52" spans="1:29" s="3" customFormat="1" ht="15.75">
      <c r="A52" s="19"/>
      <c r="B52" s="22"/>
      <c r="C52" s="2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AB52" s="4"/>
      <c r="AC52" s="4"/>
    </row>
    <row r="53" spans="1:29" s="3" customFormat="1" ht="16.5" customHeight="1">
      <c r="A53" s="19"/>
      <c r="B53" s="20"/>
      <c r="C53" s="20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AB53" s="4"/>
      <c r="AC53" s="4"/>
    </row>
    <row r="54" spans="1:29" s="3" customFormat="1" ht="15.75">
      <c r="A54" s="19"/>
      <c r="B54" s="20"/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AB54" s="4"/>
      <c r="AC54" s="4"/>
    </row>
    <row r="55" spans="1:29" s="3" customFormat="1" ht="15.75">
      <c r="A55" s="19"/>
      <c r="B55" s="20"/>
      <c r="C55" s="20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AB55" s="4"/>
      <c r="AC55" s="4"/>
    </row>
    <row r="56" spans="1:29" s="3" customFormat="1" ht="15.75">
      <c r="A56" s="19"/>
      <c r="B56" s="20"/>
      <c r="C56" s="20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AB56" s="4"/>
      <c r="AC56" s="4"/>
    </row>
    <row r="57" spans="1:29" s="3" customFormat="1" ht="15.75">
      <c r="A57" s="19"/>
      <c r="B57" s="20"/>
      <c r="C57" s="2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AB57" s="4"/>
      <c r="AC57" s="4"/>
    </row>
    <row r="58" spans="1:29" s="3" customFormat="1" ht="15.75">
      <c r="A58" s="19"/>
      <c r="B58" s="20"/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AB58" s="4"/>
      <c r="AC58" s="4"/>
    </row>
    <row r="59" spans="1:29" s="3" customFormat="1" ht="15.75">
      <c r="A59" s="19"/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AB59" s="4"/>
      <c r="AC59" s="4"/>
    </row>
    <row r="60" spans="1:29" s="26" customFormat="1" ht="16.5" customHeight="1">
      <c r="A60" s="119"/>
      <c r="B60" s="119"/>
      <c r="C60" s="119"/>
      <c r="D60" s="119"/>
      <c r="E60" s="119"/>
      <c r="F60" s="119"/>
      <c r="G60" s="119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AB60" s="27"/>
      <c r="AC60" s="27"/>
    </row>
    <row r="61" spans="1:18" ht="15.75">
      <c r="A61" s="19"/>
      <c r="B61" s="22"/>
      <c r="C61" s="2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ht="15.75">
      <c r="A62" s="19"/>
      <c r="B62" s="22"/>
      <c r="C62" s="22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15.75">
      <c r="A63" s="19"/>
      <c r="B63" s="22"/>
      <c r="C63" s="22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15.75">
      <c r="A64" s="19"/>
      <c r="B64" s="22"/>
      <c r="C64" s="2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ht="18" customHeight="1">
      <c r="A65" s="19"/>
      <c r="B65" s="22"/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ht="15.75">
      <c r="A66" s="19"/>
      <c r="B66" s="22"/>
      <c r="C66" s="2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18" ht="15.75">
      <c r="A67" s="19"/>
      <c r="B67" s="22"/>
      <c r="C67" s="22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1:18" ht="15.75">
      <c r="A68" s="19"/>
      <c r="B68" s="22"/>
      <c r="C68" s="22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18" ht="15.75">
      <c r="A69" s="19"/>
      <c r="B69" s="22"/>
      <c r="C69" s="22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1:18" ht="15.75">
      <c r="A70" s="19"/>
      <c r="B70" s="22"/>
      <c r="C70" s="22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1:18" ht="15.75">
      <c r="A71" s="19"/>
      <c r="B71" s="20"/>
      <c r="C71" s="20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5.75">
      <c r="A72" s="19"/>
      <c r="B72" s="20"/>
      <c r="C72" s="2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1:18" ht="15.75">
      <c r="A73" s="19"/>
      <c r="B73" s="20"/>
      <c r="C73" s="20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ht="15.75">
      <c r="A74" s="19"/>
      <c r="B74" s="20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8" ht="15.75">
      <c r="A75" s="19"/>
      <c r="B75" s="20"/>
      <c r="C75" s="20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ht="15.75">
      <c r="A76" s="19"/>
      <c r="B76" s="20"/>
      <c r="C76" s="20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1:18" ht="15.75">
      <c r="A77" s="19"/>
      <c r="B77" s="20"/>
      <c r="C77" s="20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1:18" ht="15.75">
      <c r="A78" s="19"/>
      <c r="B78" s="20"/>
      <c r="C78" s="20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1:18" ht="15.75">
      <c r="A79" s="19"/>
      <c r="B79" s="20"/>
      <c r="C79" s="20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1:18" ht="15.75">
      <c r="A80" s="19"/>
      <c r="B80" s="20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1:18" ht="15.75">
      <c r="A81" s="19"/>
      <c r="B81" s="20"/>
      <c r="C81" s="2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1:18" ht="15.75">
      <c r="A82" s="19"/>
      <c r="B82" s="20"/>
      <c r="C82" s="20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83" spans="1:18" ht="15.75">
      <c r="A83" s="19"/>
      <c r="B83" s="20"/>
      <c r="C83" s="20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1:18" ht="15.75">
      <c r="A84" s="19"/>
      <c r="B84" s="20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1:18" ht="15.75">
      <c r="A85" s="19"/>
      <c r="B85" s="20"/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1:18" ht="15.75">
      <c r="A86" s="19"/>
      <c r="B86" s="20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1:18" ht="15.75">
      <c r="A87" s="19"/>
      <c r="B87" s="20"/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8" ht="15.75">
      <c r="A88" s="19"/>
      <c r="B88" s="20"/>
      <c r="C88" s="20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1:18" ht="15.75">
      <c r="A89" s="19"/>
      <c r="B89" s="20"/>
      <c r="C89" s="20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1:18" ht="15.75">
      <c r="A90" s="19"/>
      <c r="B90" s="20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1:18" ht="15.75">
      <c r="A91" s="19"/>
      <c r="B91" s="20"/>
      <c r="C91" s="20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1:18" ht="15.75">
      <c r="A92" s="19"/>
      <c r="B92" s="20"/>
      <c r="C92" s="20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1:18" ht="15.75">
      <c r="A93" s="19"/>
      <c r="B93" s="20"/>
      <c r="C93" s="20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8" ht="15.75">
      <c r="A94" s="19"/>
      <c r="B94" s="20"/>
      <c r="C94" s="20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1:18" ht="15.75">
      <c r="A95" s="19"/>
      <c r="B95" s="20"/>
      <c r="C95" s="20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1:18" ht="15.75">
      <c r="A96" s="19"/>
      <c r="B96" s="20"/>
      <c r="C96" s="20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</row>
    <row r="97" spans="1:18" ht="15.75">
      <c r="A97" s="19"/>
      <c r="B97" s="20"/>
      <c r="C97" s="20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1:18" ht="15.75">
      <c r="A98" s="19"/>
      <c r="B98" s="20"/>
      <c r="C98" s="20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15.75">
      <c r="A99" s="19"/>
      <c r="B99" s="20"/>
      <c r="C99" s="20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1:18" ht="15.75">
      <c r="A100" s="19"/>
      <c r="B100" s="20"/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ht="15.75">
      <c r="A101" s="19"/>
      <c r="B101" s="20"/>
      <c r="C101" s="20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1:18" ht="15.75">
      <c r="A102" s="19"/>
      <c r="B102" s="20"/>
      <c r="C102" s="20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1:18" ht="15.75">
      <c r="A103" s="19"/>
      <c r="B103" s="20"/>
      <c r="C103" s="20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</row>
    <row r="104" spans="1:18" ht="15.75">
      <c r="A104" s="19"/>
      <c r="B104" s="20"/>
      <c r="C104" s="20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1:18" ht="15.75">
      <c r="A105" s="30"/>
      <c r="B105" s="31"/>
      <c r="C105" s="31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</row>
    <row r="106" spans="1:18" ht="18.75">
      <c r="A106" s="32"/>
      <c r="B106" s="32"/>
      <c r="C106" s="3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1:18" ht="15.75">
      <c r="A107" s="30"/>
      <c r="B107" s="30"/>
      <c r="C107" s="30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</row>
  </sheetData>
  <sheetProtection/>
  <mergeCells count="26">
    <mergeCell ref="D1:P1"/>
    <mergeCell ref="A60:G60"/>
    <mergeCell ref="R3:R6"/>
    <mergeCell ref="S3:AA4"/>
    <mergeCell ref="N5:N6"/>
    <mergeCell ref="S5:V5"/>
    <mergeCell ref="A3:A7"/>
    <mergeCell ref="AA5:AA6"/>
    <mergeCell ref="B6:B7"/>
    <mergeCell ref="D4:K4"/>
    <mergeCell ref="H5:K5"/>
    <mergeCell ref="C3:C7"/>
    <mergeCell ref="L3:N4"/>
    <mergeCell ref="B3:B4"/>
    <mergeCell ref="W5:Z5"/>
    <mergeCell ref="D3:K3"/>
    <mergeCell ref="Q3:Q7"/>
    <mergeCell ref="D5:G5"/>
    <mergeCell ref="AB3:AB7"/>
    <mergeCell ref="AC3:AK4"/>
    <mergeCell ref="AC5:AF5"/>
    <mergeCell ref="AG5:AJ5"/>
    <mergeCell ref="AK5:AK6"/>
    <mergeCell ref="L5:M5"/>
    <mergeCell ref="P3:P7"/>
    <mergeCell ref="O3:O7"/>
  </mergeCells>
  <printOptions horizontalCentered="1"/>
  <pageMargins left="0" right="0" top="0.5905511811023623" bottom="0" header="0" footer="0"/>
  <pageSetup horizontalDpi="600" verticalDpi="600" orientation="landscape" paperSize="9" scale="40" r:id="rId1"/>
  <rowBreaks count="1" manualBreakCount="1">
    <brk id="45" max="255" man="1"/>
  </rowBreaks>
  <colBreaks count="1" manualBreakCount="1">
    <brk id="28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view="pageBreakPreview" zoomScale="71" zoomScaleNormal="74" zoomScaleSheetLayoutView="71" zoomScalePageLayoutView="0" workbookViewId="0" topLeftCell="A3">
      <selection activeCell="E3" sqref="E3:F41"/>
    </sheetView>
  </sheetViews>
  <sheetFormatPr defaultColWidth="9.140625" defaultRowHeight="12.75"/>
  <cols>
    <col min="1" max="1" width="9.00390625" style="45" customWidth="1"/>
    <col min="2" max="2" width="36.140625" style="45" customWidth="1"/>
    <col min="3" max="3" width="64.140625" style="45" customWidth="1"/>
    <col min="4" max="4" width="75.28125" style="45" customWidth="1"/>
    <col min="5" max="5" width="15.57421875" style="45" customWidth="1"/>
    <col min="6" max="16384" width="9.140625" style="45" customWidth="1"/>
  </cols>
  <sheetData>
    <row r="1" spans="1:13" ht="65.25" customHeight="1">
      <c r="A1" s="144" t="s">
        <v>79</v>
      </c>
      <c r="B1" s="144"/>
      <c r="C1" s="144"/>
      <c r="D1" s="144"/>
      <c r="E1" s="42"/>
      <c r="F1" s="42"/>
      <c r="G1" s="42"/>
      <c r="H1" s="42"/>
      <c r="I1" s="42"/>
      <c r="J1" s="42"/>
      <c r="K1" s="42"/>
      <c r="L1" s="43"/>
      <c r="M1" s="44"/>
    </row>
    <row r="2" spans="1:13" ht="192.75" customHeight="1">
      <c r="A2" s="59" t="s">
        <v>0</v>
      </c>
      <c r="B2" s="63" t="s">
        <v>31</v>
      </c>
      <c r="C2" s="64" t="s">
        <v>83</v>
      </c>
      <c r="D2" s="64" t="s">
        <v>84</v>
      </c>
      <c r="E2" s="43"/>
      <c r="F2" s="43"/>
      <c r="G2" s="43"/>
      <c r="H2" s="43"/>
      <c r="I2" s="43"/>
      <c r="J2" s="43"/>
      <c r="K2" s="43"/>
      <c r="L2" s="43"/>
      <c r="M2" s="44"/>
    </row>
    <row r="3" spans="1:12" ht="18.75">
      <c r="A3" s="46">
        <v>1</v>
      </c>
      <c r="B3" s="60" t="s">
        <v>32</v>
      </c>
      <c r="C3" s="47">
        <f>'Началка-общая'!T9+'Началка-инклюзия'!P8+'Началка-надомники все'!AA8</f>
        <v>4049</v>
      </c>
      <c r="D3" s="53">
        <f>'Началка-общая'!AA9+'Началка-инклюзия'!U8+'Началка-надомники все'!AK8</f>
        <v>3511.1</v>
      </c>
      <c r="E3" s="69"/>
      <c r="F3" s="44"/>
      <c r="G3" s="44"/>
      <c r="H3" s="44"/>
      <c r="I3" s="44"/>
      <c r="J3" s="44"/>
      <c r="K3" s="44"/>
      <c r="L3" s="44"/>
    </row>
    <row r="4" spans="1:12" ht="18.75">
      <c r="A4" s="48">
        <v>2</v>
      </c>
      <c r="B4" s="60" t="s">
        <v>33</v>
      </c>
      <c r="C4" s="47">
        <f>'Началка-общая'!T10+'Началка-инклюзия'!P9+'Началка-надомники все'!AA9</f>
        <v>4289.6</v>
      </c>
      <c r="D4" s="53">
        <f>'Началка-общая'!AA10+'Началка-инклюзия'!U9+'Началка-надомники все'!AK9</f>
        <v>3889.3999999999996</v>
      </c>
      <c r="E4" s="69"/>
      <c r="F4" s="44"/>
      <c r="G4" s="44"/>
      <c r="H4" s="44"/>
      <c r="I4" s="44"/>
      <c r="J4" s="44"/>
      <c r="K4" s="44"/>
      <c r="L4" s="44"/>
    </row>
    <row r="5" spans="1:5" ht="18.75">
      <c r="A5" s="48">
        <v>3</v>
      </c>
      <c r="B5" s="60" t="s">
        <v>34</v>
      </c>
      <c r="C5" s="47">
        <f>'Началка-общая'!T11+'Началка-инклюзия'!P10+'Началка-надомники все'!AA10</f>
        <v>3421.6</v>
      </c>
      <c r="D5" s="53">
        <f>'Началка-общая'!AA11+'Началка-инклюзия'!U10+'Началка-надомники все'!AK10</f>
        <v>3158.2999999999997</v>
      </c>
      <c r="E5" s="69"/>
    </row>
    <row r="6" spans="1:5" ht="18.75">
      <c r="A6" s="48">
        <v>4</v>
      </c>
      <c r="B6" s="60" t="s">
        <v>35</v>
      </c>
      <c r="C6" s="47">
        <f>'Началка-общая'!T12+'Началка-инклюзия'!P11+'Началка-надомники все'!AA11</f>
        <v>2133.1</v>
      </c>
      <c r="D6" s="47">
        <f>'Началка-общая'!AA12+'Началка-инклюзия'!U11+'Началка-надомники все'!AK11</f>
        <v>1967.6</v>
      </c>
      <c r="E6" s="69"/>
    </row>
    <row r="7" spans="1:5" ht="18.75">
      <c r="A7" s="46">
        <v>5</v>
      </c>
      <c r="B7" s="60" t="s">
        <v>36</v>
      </c>
      <c r="C7" s="47">
        <f>'Началка-общая'!T13+'Началка-инклюзия'!P12+'Началка-надомники все'!AA12</f>
        <v>1767.2</v>
      </c>
      <c r="D7" s="47">
        <f>'Началка-общая'!AA13+'Началка-инклюзия'!U12+'Началка-надомники все'!AK12</f>
        <v>2313.7</v>
      </c>
      <c r="E7" s="69"/>
    </row>
    <row r="8" spans="1:5" ht="18.75">
      <c r="A8" s="48">
        <v>6</v>
      </c>
      <c r="B8" s="60" t="s">
        <v>37</v>
      </c>
      <c r="C8" s="47">
        <f>'Началка-общая'!T14+'Началка-инклюзия'!P13+'Началка-надомники все'!AA13</f>
        <v>4421.099999999999</v>
      </c>
      <c r="D8" s="47">
        <f>'Началка-общая'!AA14+'Началка-инклюзия'!U13+'Началка-надомники все'!AK13</f>
        <v>4411.6</v>
      </c>
      <c r="E8" s="69"/>
    </row>
    <row r="9" spans="1:5" ht="15.75" customHeight="1">
      <c r="A9" s="48">
        <v>7</v>
      </c>
      <c r="B9" s="60" t="s">
        <v>38</v>
      </c>
      <c r="C9" s="47">
        <f>'Началка-общая'!T15+'Началка-инклюзия'!P14+'Началка-надомники все'!AA14</f>
        <v>4878.7</v>
      </c>
      <c r="D9" s="47">
        <f>'Началка-общая'!AA15+'Началка-инклюзия'!U14+'Началка-надомники все'!AK14</f>
        <v>4133.8</v>
      </c>
      <c r="E9" s="69"/>
    </row>
    <row r="10" spans="1:5" s="49" customFormat="1" ht="18.75">
      <c r="A10" s="48">
        <v>8</v>
      </c>
      <c r="B10" s="61" t="s">
        <v>39</v>
      </c>
      <c r="C10" s="47">
        <f>'Началка-общая'!T16+'Началка-инклюзия'!P15+'Началка-надомники все'!AA15</f>
        <v>5693.1</v>
      </c>
      <c r="D10" s="47">
        <f>'Началка-общая'!AA16+'Началка-инклюзия'!U15+'Началка-надомники все'!AK15</f>
        <v>5164</v>
      </c>
      <c r="E10" s="69"/>
    </row>
    <row r="11" spans="1:5" ht="18.75">
      <c r="A11" s="46">
        <v>9</v>
      </c>
      <c r="B11" s="60" t="s">
        <v>40</v>
      </c>
      <c r="C11" s="47">
        <f>'Началка-общая'!T17+'Началка-инклюзия'!P16+'Началка-надомники все'!AA16</f>
        <v>687.1</v>
      </c>
      <c r="D11" s="47">
        <f>'Началка-общая'!AA17+'Началка-инклюзия'!U16+'Началка-надомники все'!AK16</f>
        <v>468.3</v>
      </c>
      <c r="E11" s="69"/>
    </row>
    <row r="12" spans="1:5" ht="18.75">
      <c r="A12" s="48">
        <v>10</v>
      </c>
      <c r="B12" s="62" t="s">
        <v>41</v>
      </c>
      <c r="C12" s="47">
        <f>'Началка-общая'!T18+'Началка-инклюзия'!P17+'Началка-надомники все'!AA17</f>
        <v>1439.2</v>
      </c>
      <c r="D12" s="47">
        <f>'Началка-общая'!AA18+'Началка-инклюзия'!U17+'Началка-надомники все'!AK17</f>
        <v>1488.4</v>
      </c>
      <c r="E12" s="69"/>
    </row>
    <row r="13" spans="1:5" ht="18.75">
      <c r="A13" s="48">
        <v>11</v>
      </c>
      <c r="B13" s="62" t="s">
        <v>42</v>
      </c>
      <c r="C13" s="47">
        <f>'Началка-общая'!T19+'Началка-инклюзия'!P18+'Началка-надомники все'!AA18</f>
        <v>1701.7</v>
      </c>
      <c r="D13" s="47">
        <f>'Началка-общая'!AA19+'Началка-инклюзия'!U18+'Началка-надомники все'!AK18</f>
        <v>2013.2</v>
      </c>
      <c r="E13" s="69"/>
    </row>
    <row r="14" spans="1:5" ht="18.75">
      <c r="A14" s="48">
        <v>12</v>
      </c>
      <c r="B14" s="62" t="s">
        <v>43</v>
      </c>
      <c r="C14" s="47">
        <f>'Началка-общая'!T20+'Началка-инклюзия'!P19+'Началка-надомники все'!AA19</f>
        <v>2360.3</v>
      </c>
      <c r="D14" s="47">
        <f>'Началка-общая'!AA20+'Началка-инклюзия'!U19+'Началка-надомники все'!AK19</f>
        <v>2283.3999999999996</v>
      </c>
      <c r="E14" s="69"/>
    </row>
    <row r="15" spans="1:5" ht="18.75">
      <c r="A15" s="46">
        <v>13</v>
      </c>
      <c r="B15" s="62" t="s">
        <v>44</v>
      </c>
      <c r="C15" s="47">
        <f>'Началка-общая'!T21+'Началка-инклюзия'!P20+'Началка-надомники все'!AA20</f>
        <v>4979</v>
      </c>
      <c r="D15" s="47">
        <f>'Началка-общая'!AA21+'Началка-инклюзия'!U20+'Началка-надомники все'!AK20</f>
        <v>4380.8</v>
      </c>
      <c r="E15" s="69"/>
    </row>
    <row r="16" spans="1:5" ht="19.5" customHeight="1">
      <c r="A16" s="48">
        <v>14</v>
      </c>
      <c r="B16" s="62" t="s">
        <v>45</v>
      </c>
      <c r="C16" s="47">
        <f>'Началка-общая'!T22+'Началка-инклюзия'!P21+'Началка-надомники все'!AA21</f>
        <v>1633.3000000000002</v>
      </c>
      <c r="D16" s="47">
        <f>'Началка-общая'!AA22+'Началка-инклюзия'!U21+'Началка-надомники все'!AK21</f>
        <v>1827.9</v>
      </c>
      <c r="E16" s="69"/>
    </row>
    <row r="17" spans="1:5" ht="18.75">
      <c r="A17" s="48">
        <v>15</v>
      </c>
      <c r="B17" s="62" t="s">
        <v>46</v>
      </c>
      <c r="C17" s="47">
        <f>'Началка-общая'!T23+'Началка-инклюзия'!P22+'Началка-надомники все'!AA22</f>
        <v>3351.7000000000003</v>
      </c>
      <c r="D17" s="47">
        <f>'Началка-общая'!AA23+'Началка-инклюзия'!U22+'Началка-надомники все'!AK22</f>
        <v>3173.2</v>
      </c>
      <c r="E17" s="69"/>
    </row>
    <row r="18" spans="1:5" s="50" customFormat="1" ht="15.75" customHeight="1">
      <c r="A18" s="48">
        <v>16</v>
      </c>
      <c r="B18" s="62" t="s">
        <v>47</v>
      </c>
      <c r="C18" s="47">
        <f>'Началка-общая'!T24+'Началка-инклюзия'!P23+'Началка-надомники все'!AA23</f>
        <v>1688.4</v>
      </c>
      <c r="D18" s="47">
        <f>'Началка-общая'!AA24+'Началка-инклюзия'!U23+'Началка-надомники все'!AK23</f>
        <v>1300.1</v>
      </c>
      <c r="E18" s="69"/>
    </row>
    <row r="19" spans="1:5" ht="18.75">
      <c r="A19" s="46">
        <v>17</v>
      </c>
      <c r="B19" s="62" t="s">
        <v>48</v>
      </c>
      <c r="C19" s="47">
        <f>'Началка-общая'!T25+'Началка-инклюзия'!P24+'Началка-надомники все'!AA24</f>
        <v>1009.7</v>
      </c>
      <c r="D19" s="47">
        <f>'Началка-общая'!AA25+'Началка-инклюзия'!U24+'Началка-надомники все'!AK24</f>
        <v>835.6999999999999</v>
      </c>
      <c r="E19" s="69"/>
    </row>
    <row r="20" spans="1:5" ht="18.75">
      <c r="A20" s="48">
        <v>18</v>
      </c>
      <c r="B20" s="62" t="s">
        <v>49</v>
      </c>
      <c r="C20" s="47">
        <f>'Началка-общая'!T26+'Началка-инклюзия'!P25+'Началка-надомники все'!AA25</f>
        <v>6191.700000000001</v>
      </c>
      <c r="D20" s="47">
        <f>'Началка-общая'!AA26+'Началка-инклюзия'!U25+'Началка-надомники все'!AK25</f>
        <v>5960.5</v>
      </c>
      <c r="E20" s="69"/>
    </row>
    <row r="21" spans="1:5" ht="18.75">
      <c r="A21" s="48">
        <v>19</v>
      </c>
      <c r="B21" s="62" t="s">
        <v>50</v>
      </c>
      <c r="C21" s="47">
        <f>'Началка-общая'!T27+'Началка-инклюзия'!P26+'Началка-надомники все'!AA26</f>
        <v>1164.3</v>
      </c>
      <c r="D21" s="47">
        <f>'Началка-общая'!AA27+'Началка-инклюзия'!U26+'Началка-надомники все'!AK26</f>
        <v>1051.5</v>
      </c>
      <c r="E21" s="69"/>
    </row>
    <row r="22" spans="1:5" s="51" customFormat="1" ht="15" customHeight="1">
      <c r="A22" s="48">
        <v>20</v>
      </c>
      <c r="B22" s="62" t="s">
        <v>51</v>
      </c>
      <c r="C22" s="47">
        <f>'Началка-общая'!T28+'Началка-инклюзия'!P27+'Началка-надомники все'!AA27</f>
        <v>3023.6000000000004</v>
      </c>
      <c r="D22" s="47">
        <f>'Началка-общая'!AA28+'Началка-инклюзия'!U27+'Началка-надомники все'!AK27</f>
        <v>2532.7</v>
      </c>
      <c r="E22" s="69"/>
    </row>
    <row r="23" spans="1:5" s="50" customFormat="1" ht="18.75" customHeight="1">
      <c r="A23" s="46">
        <v>21</v>
      </c>
      <c r="B23" s="62" t="s">
        <v>52</v>
      </c>
      <c r="C23" s="47">
        <f>'Началка-общая'!T29+'Началка-инклюзия'!P28+'Началка-надомники все'!AA28</f>
        <v>1027.8999999999999</v>
      </c>
      <c r="D23" s="47">
        <f>'Началка-общая'!AA29+'Началка-инклюзия'!U28+'Началка-надомники все'!AK28</f>
        <v>1072.8999999999999</v>
      </c>
      <c r="E23" s="69"/>
    </row>
    <row r="24" spans="1:5" ht="18.75">
      <c r="A24" s="48">
        <v>22</v>
      </c>
      <c r="B24" s="62" t="s">
        <v>53</v>
      </c>
      <c r="C24" s="47">
        <f>'Началка-общая'!T30+'Началка-инклюзия'!P29+'Началка-надомники все'!AA29</f>
        <v>696.7</v>
      </c>
      <c r="D24" s="47">
        <f>'Началка-общая'!AA30+'Началка-инклюзия'!U29+'Началка-надомники все'!AK29</f>
        <v>548.7</v>
      </c>
      <c r="E24" s="69"/>
    </row>
    <row r="25" spans="1:5" ht="18.75">
      <c r="A25" s="48">
        <v>23</v>
      </c>
      <c r="B25" s="62" t="s">
        <v>54</v>
      </c>
      <c r="C25" s="47">
        <f>'Началка-общая'!T31+'Началка-инклюзия'!P30+'Началка-надомники все'!AA30</f>
        <v>696.7</v>
      </c>
      <c r="D25" s="47">
        <f>'Началка-общая'!AA31+'Началка-инклюзия'!U30+'Началка-надомники все'!AK30</f>
        <v>795.1999999999999</v>
      </c>
      <c r="E25" s="69"/>
    </row>
    <row r="26" spans="1:5" ht="18.75">
      <c r="A26" s="48">
        <v>24</v>
      </c>
      <c r="B26" s="62" t="s">
        <v>55</v>
      </c>
      <c r="C26" s="47">
        <f>'Началка-общая'!T32+'Началка-инклюзия'!P31+'Началка-надомники все'!AA31</f>
        <v>1491.1</v>
      </c>
      <c r="D26" s="47">
        <f>'Началка-общая'!AA32+'Началка-инклюзия'!U31+'Началка-надомники все'!AK31</f>
        <v>1232.6</v>
      </c>
      <c r="E26" s="69"/>
    </row>
    <row r="27" spans="1:5" ht="19.5" customHeight="1">
      <c r="A27" s="46">
        <v>25</v>
      </c>
      <c r="B27" s="62" t="s">
        <v>56</v>
      </c>
      <c r="C27" s="47">
        <f>'Началка-общая'!T33+'Началка-инклюзия'!P32+'Началка-надомники все'!AA32</f>
        <v>1385.4</v>
      </c>
      <c r="D27" s="47">
        <f>'Началка-общая'!AA33+'Началка-инклюзия'!U32+'Началка-надомники все'!AK32</f>
        <v>1138.3</v>
      </c>
      <c r="E27" s="69"/>
    </row>
    <row r="28" spans="1:5" ht="18" customHeight="1">
      <c r="A28" s="48">
        <v>26</v>
      </c>
      <c r="B28" s="62" t="s">
        <v>57</v>
      </c>
      <c r="C28" s="47">
        <f>'Началка-общая'!T34+'Началка-инклюзия'!P33+'Началка-надомники все'!AA33</f>
        <v>987.4</v>
      </c>
      <c r="D28" s="47">
        <f>'Началка-общая'!AA34+'Началка-инклюзия'!U33+'Началка-надомники все'!AK33</f>
        <v>789.3000000000001</v>
      </c>
      <c r="E28" s="69"/>
    </row>
    <row r="29" spans="1:5" s="51" customFormat="1" ht="18.75" customHeight="1">
      <c r="A29" s="48">
        <v>27</v>
      </c>
      <c r="B29" s="62" t="s">
        <v>58</v>
      </c>
      <c r="C29" s="47">
        <f>'Началка-общая'!T35+'Началка-инклюзия'!P34+'Началка-надомники все'!AA34</f>
        <v>1370.8</v>
      </c>
      <c r="D29" s="47">
        <f>'Началка-общая'!AA35+'Началка-инклюзия'!U34+'Началка-надомники все'!AK34</f>
        <v>1257.9</v>
      </c>
      <c r="E29" s="69"/>
    </row>
    <row r="30" spans="1:5" ht="42" customHeight="1">
      <c r="A30" s="48">
        <v>28</v>
      </c>
      <c r="B30" s="62" t="s">
        <v>59</v>
      </c>
      <c r="C30" s="47">
        <f>'Началка-общая'!T36+'Началка-инклюзия'!P35+'Началка-надомники все'!AA35</f>
        <v>700</v>
      </c>
      <c r="D30" s="47">
        <f>'Началка-общая'!AA36+'Началка-инклюзия'!U35+'Началка-надомники все'!AK35</f>
        <v>553.3</v>
      </c>
      <c r="E30" s="69"/>
    </row>
    <row r="31" spans="1:5" ht="37.5">
      <c r="A31" s="46">
        <v>29</v>
      </c>
      <c r="B31" s="62" t="s">
        <v>60</v>
      </c>
      <c r="C31" s="47">
        <f>'Началка-общая'!T37+'Началка-инклюзия'!P36+'Началка-надомники все'!AA36</f>
        <v>1177.6</v>
      </c>
      <c r="D31" s="47">
        <f>'Началка-общая'!AA37+'Началка-инклюзия'!U36+'Началка-надомники все'!AK36</f>
        <v>1049.4</v>
      </c>
      <c r="E31" s="69"/>
    </row>
    <row r="32" spans="1:5" ht="18.75">
      <c r="A32" s="48">
        <v>30</v>
      </c>
      <c r="B32" s="62" t="s">
        <v>61</v>
      </c>
      <c r="C32" s="47">
        <f>'Началка-общая'!T38+'Началка-инклюзия'!P37+'Началка-надомники все'!AA37</f>
        <v>1327.3</v>
      </c>
      <c r="D32" s="47">
        <f>'Началка-общая'!AA38+'Началка-инклюзия'!U37+'Началка-надомники все'!AK37</f>
        <v>1562.9</v>
      </c>
      <c r="E32" s="69"/>
    </row>
    <row r="33" spans="1:5" ht="18.75">
      <c r="A33" s="48">
        <v>31</v>
      </c>
      <c r="B33" s="62" t="s">
        <v>62</v>
      </c>
      <c r="C33" s="47">
        <f>'Началка-общая'!T39+'Началка-инклюзия'!P38+'Началка-надомники все'!AA38</f>
        <v>688.8</v>
      </c>
      <c r="D33" s="47">
        <f>'Началка-общая'!AA39+'Началка-инклюзия'!U38+'Началка-надомники все'!AK38</f>
        <v>558.1999999999999</v>
      </c>
      <c r="E33" s="69"/>
    </row>
    <row r="34" spans="1:5" ht="18.75">
      <c r="A34" s="48">
        <v>32</v>
      </c>
      <c r="B34" s="62" t="s">
        <v>63</v>
      </c>
      <c r="C34" s="47">
        <f>'Началка-общая'!T40+'Началка-инклюзия'!P39+'Началка-надомники все'!AA39</f>
        <v>1613.8999999999999</v>
      </c>
      <c r="D34" s="47">
        <f>'Началка-общая'!AA40+'Началка-инклюзия'!U39+'Началка-надомники все'!AK39</f>
        <v>1456.2</v>
      </c>
      <c r="E34" s="69"/>
    </row>
    <row r="35" spans="1:5" ht="22.5" customHeight="1">
      <c r="A35" s="46">
        <v>33</v>
      </c>
      <c r="B35" s="62" t="s">
        <v>64</v>
      </c>
      <c r="C35" s="47">
        <f>'Началка-общая'!T41+'Началка-инклюзия'!P40+'Началка-надомники все'!AA40</f>
        <v>1576.6999999999998</v>
      </c>
      <c r="D35" s="47">
        <f>'Началка-общая'!AA41+'Началка-инклюзия'!U40+'Началка-надомники все'!AK40</f>
        <v>1414.7</v>
      </c>
      <c r="E35" s="69"/>
    </row>
    <row r="36" spans="1:5" ht="21.75" customHeight="1">
      <c r="A36" s="48">
        <v>34</v>
      </c>
      <c r="B36" s="62" t="s">
        <v>65</v>
      </c>
      <c r="C36" s="47">
        <f>'Началка-общая'!T42+'Началка-инклюзия'!P41+'Началка-надомники все'!AA41</f>
        <v>1963.3999999999999</v>
      </c>
      <c r="D36" s="47">
        <f>'Началка-общая'!AA42+'Началка-инклюзия'!U41+'Началка-надомники все'!AK41</f>
        <v>1842.4</v>
      </c>
      <c r="E36" s="69"/>
    </row>
    <row r="37" spans="1:5" s="50" customFormat="1" ht="21" customHeight="1">
      <c r="A37" s="48">
        <v>35</v>
      </c>
      <c r="B37" s="62" t="s">
        <v>66</v>
      </c>
      <c r="C37" s="47">
        <f>'Началка-общая'!T43+'Началка-инклюзия'!P42+'Началка-надомники все'!AA42</f>
        <v>789.2</v>
      </c>
      <c r="D37" s="47">
        <f>'Началка-общая'!AA43+'Началка-инклюзия'!U42+'Началка-надомники все'!AK42</f>
        <v>796.4000000000001</v>
      </c>
      <c r="E37" s="69"/>
    </row>
    <row r="38" spans="1:5" s="50" customFormat="1" ht="37.5">
      <c r="A38" s="48">
        <v>36</v>
      </c>
      <c r="B38" s="62" t="s">
        <v>67</v>
      </c>
      <c r="C38" s="47">
        <f>'Началка-общая'!T44+'Началка-инклюзия'!P43+'Началка-надомники все'!AA43</f>
        <v>967.2</v>
      </c>
      <c r="D38" s="47">
        <f>'Началка-общая'!AA44+'Началка-инклюзия'!U43+'Началка-надомники все'!AK43</f>
        <v>895.4000000000001</v>
      </c>
      <c r="E38" s="69"/>
    </row>
    <row r="39" spans="1:5" ht="18.75">
      <c r="A39" s="46">
        <v>37</v>
      </c>
      <c r="B39" s="62" t="s">
        <v>68</v>
      </c>
      <c r="C39" s="47">
        <f>'Началка-общая'!T45+'Началка-инклюзия'!P44+'Началка-надомники все'!AA44</f>
        <v>682.1999999999999</v>
      </c>
      <c r="D39" s="53">
        <f>'Началка-общая'!AA45+'Началка-инклюзия'!U44+'Началка-надомники все'!AK44</f>
        <v>514.7</v>
      </c>
      <c r="E39" s="69"/>
    </row>
    <row r="40" spans="1:4" ht="18.75">
      <c r="A40" s="67"/>
      <c r="B40" s="68" t="s">
        <v>69</v>
      </c>
      <c r="C40" s="53">
        <f>SUM(C3:C39)</f>
        <v>79025.69999999998</v>
      </c>
      <c r="D40" s="53">
        <f>SUM(D3:D39)</f>
        <v>73343.69999999997</v>
      </c>
    </row>
    <row r="41" spans="1:2" ht="18" customHeight="1">
      <c r="A41" s="65"/>
      <c r="B41" s="66"/>
    </row>
    <row r="42" spans="1:4" ht="18.75">
      <c r="A42" s="54"/>
      <c r="B42" s="55"/>
      <c r="D42" s="52"/>
    </row>
    <row r="43" spans="1:2" ht="18.75">
      <c r="A43" s="54"/>
      <c r="B43" s="55"/>
    </row>
    <row r="44" spans="1:2" ht="18.75">
      <c r="A44" s="54"/>
      <c r="B44" s="55"/>
    </row>
    <row r="45" spans="1:2" ht="18.75">
      <c r="A45" s="54"/>
      <c r="B45" s="55"/>
    </row>
    <row r="46" spans="1:2" ht="18.75">
      <c r="A46" s="54"/>
      <c r="B46" s="56"/>
    </row>
    <row r="47" spans="1:2" ht="18.75">
      <c r="A47" s="54"/>
      <c r="B47" s="56"/>
    </row>
    <row r="48" spans="1:2" ht="16.5" customHeight="1">
      <c r="A48" s="54"/>
      <c r="B48" s="55"/>
    </row>
    <row r="49" spans="1:2" ht="18.75">
      <c r="A49" s="54"/>
      <c r="B49" s="55"/>
    </row>
    <row r="50" spans="1:2" ht="18.75">
      <c r="A50" s="54"/>
      <c r="B50" s="55"/>
    </row>
    <row r="51" spans="1:2" ht="18.75">
      <c r="A51" s="54"/>
      <c r="B51" s="55"/>
    </row>
    <row r="52" spans="1:2" ht="18.75">
      <c r="A52" s="54"/>
      <c r="B52" s="55"/>
    </row>
    <row r="53" spans="1:2" ht="18.75">
      <c r="A53" s="54"/>
      <c r="B53" s="55"/>
    </row>
    <row r="54" spans="1:2" ht="18.75">
      <c r="A54" s="54"/>
      <c r="B54" s="57"/>
    </row>
    <row r="55" spans="1:2" s="58" customFormat="1" ht="16.5" customHeight="1">
      <c r="A55" s="143"/>
      <c r="B55" s="143"/>
    </row>
    <row r="56" spans="1:2" ht="18.75">
      <c r="A56" s="54"/>
      <c r="B56" s="56"/>
    </row>
    <row r="57" spans="1:2" ht="18.75">
      <c r="A57" s="54"/>
      <c r="B57" s="56"/>
    </row>
    <row r="58" spans="1:2" ht="18.75">
      <c r="A58" s="54"/>
      <c r="B58" s="56"/>
    </row>
    <row r="59" spans="1:2" ht="18.75">
      <c r="A59" s="54"/>
      <c r="B59" s="56"/>
    </row>
    <row r="60" spans="1:2" ht="18" customHeight="1">
      <c r="A60" s="54"/>
      <c r="B60" s="56"/>
    </row>
    <row r="61" spans="1:2" ht="18.75">
      <c r="A61" s="54"/>
      <c r="B61" s="56"/>
    </row>
    <row r="62" spans="1:2" ht="18.75">
      <c r="A62" s="54"/>
      <c r="B62" s="56"/>
    </row>
    <row r="63" spans="1:2" ht="18.75">
      <c r="A63" s="54"/>
      <c r="B63" s="56"/>
    </row>
    <row r="64" spans="1:2" ht="18.75">
      <c r="A64" s="54"/>
      <c r="B64" s="56"/>
    </row>
    <row r="65" spans="1:2" ht="18.75">
      <c r="A65" s="54"/>
      <c r="B65" s="56"/>
    </row>
    <row r="66" spans="1:2" ht="18.75">
      <c r="A66" s="54"/>
      <c r="B66" s="55"/>
    </row>
    <row r="67" spans="1:2" ht="18.75">
      <c r="A67" s="54"/>
      <c r="B67" s="55"/>
    </row>
    <row r="68" spans="1:2" ht="18.75">
      <c r="A68" s="54"/>
      <c r="B68" s="55"/>
    </row>
    <row r="69" spans="1:2" ht="18.75">
      <c r="A69" s="54"/>
      <c r="B69" s="55"/>
    </row>
    <row r="70" spans="1:2" ht="18.75">
      <c r="A70" s="54"/>
      <c r="B70" s="55"/>
    </row>
    <row r="71" spans="1:2" ht="18.75">
      <c r="A71" s="54"/>
      <c r="B71" s="55"/>
    </row>
    <row r="72" spans="1:2" ht="18.75">
      <c r="A72" s="54"/>
      <c r="B72" s="55"/>
    </row>
    <row r="73" spans="1:2" ht="18.75">
      <c r="A73" s="54"/>
      <c r="B73" s="55"/>
    </row>
    <row r="74" spans="1:2" ht="18.75">
      <c r="A74" s="54"/>
      <c r="B74" s="55"/>
    </row>
    <row r="75" spans="1:2" ht="18.75">
      <c r="A75" s="54"/>
      <c r="B75" s="55"/>
    </row>
    <row r="76" spans="1:2" ht="18.75">
      <c r="A76" s="54"/>
      <c r="B76" s="55"/>
    </row>
    <row r="77" spans="1:2" ht="18.75">
      <c r="A77" s="54"/>
      <c r="B77" s="55"/>
    </row>
    <row r="78" spans="1:2" ht="18.75">
      <c r="A78" s="54"/>
      <c r="B78" s="55"/>
    </row>
    <row r="79" spans="1:2" ht="18.75">
      <c r="A79" s="54"/>
      <c r="B79" s="55"/>
    </row>
    <row r="80" spans="1:2" ht="18.75">
      <c r="A80" s="54"/>
      <c r="B80" s="55"/>
    </row>
    <row r="81" spans="1:2" ht="18.75">
      <c r="A81" s="54"/>
      <c r="B81" s="55"/>
    </row>
    <row r="82" spans="1:2" ht="18.75">
      <c r="A82" s="54"/>
      <c r="B82" s="55"/>
    </row>
    <row r="83" spans="1:2" ht="18.75">
      <c r="A83" s="54"/>
      <c r="B83" s="55"/>
    </row>
    <row r="84" spans="1:2" ht="18.75">
      <c r="A84" s="54"/>
      <c r="B84" s="55"/>
    </row>
    <row r="85" spans="1:2" ht="18.75">
      <c r="A85" s="54"/>
      <c r="B85" s="55"/>
    </row>
    <row r="86" spans="1:2" ht="18.75">
      <c r="A86" s="54"/>
      <c r="B86" s="55"/>
    </row>
    <row r="87" spans="1:2" ht="18.75">
      <c r="A87" s="54"/>
      <c r="B87" s="55"/>
    </row>
    <row r="88" spans="1:2" ht="18.75">
      <c r="A88" s="54"/>
      <c r="B88" s="55"/>
    </row>
    <row r="89" spans="1:2" ht="18.75">
      <c r="A89" s="54"/>
      <c r="B89" s="55"/>
    </row>
    <row r="90" spans="1:2" ht="18.75">
      <c r="A90" s="54"/>
      <c r="B90" s="55"/>
    </row>
    <row r="91" spans="1:2" ht="18.75">
      <c r="A91" s="54"/>
      <c r="B91" s="55"/>
    </row>
    <row r="92" spans="1:2" ht="18.75">
      <c r="A92" s="54"/>
      <c r="B92" s="55"/>
    </row>
    <row r="93" spans="1:2" ht="18.75">
      <c r="A93" s="54"/>
      <c r="B93" s="55"/>
    </row>
    <row r="94" spans="1:2" ht="18.75">
      <c r="A94" s="54"/>
      <c r="B94" s="55"/>
    </row>
    <row r="95" spans="1:2" ht="18.75">
      <c r="A95" s="54"/>
      <c r="B95" s="55"/>
    </row>
    <row r="96" spans="1:2" ht="18.75">
      <c r="A96" s="54"/>
      <c r="B96" s="55"/>
    </row>
    <row r="97" spans="1:2" ht="18.75">
      <c r="A97" s="54"/>
      <c r="B97" s="55"/>
    </row>
    <row r="98" spans="1:2" ht="18.75">
      <c r="A98" s="54"/>
      <c r="B98" s="55"/>
    </row>
    <row r="99" spans="1:2" ht="18.75">
      <c r="A99" s="54"/>
      <c r="B99" s="55"/>
    </row>
    <row r="100" spans="1:2" ht="18.75">
      <c r="A100" s="44"/>
      <c r="B100" s="41"/>
    </row>
    <row r="101" spans="1:2" ht="18.75">
      <c r="A101" s="41"/>
      <c r="B101" s="41"/>
    </row>
    <row r="102" spans="1:2" ht="18.75">
      <c r="A102" s="44"/>
      <c r="B102" s="44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3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2023-05-15T08:55:33Z</cp:lastPrinted>
  <dcterms:created xsi:type="dcterms:W3CDTF">2005-01-25T12:19:56Z</dcterms:created>
  <dcterms:modified xsi:type="dcterms:W3CDTF">2023-05-18T11:10:39Z</dcterms:modified>
  <cp:category/>
  <cp:version/>
  <cp:contentType/>
  <cp:contentStatus/>
</cp:coreProperties>
</file>