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2120" windowHeight="8115" tabRatio="598" activeTab="3"/>
  </bookViews>
  <sheets>
    <sheet name="Расчёт баз. нормат.прил.1" sheetId="1" r:id="rId1"/>
    <sheet name="ФО непосредств.затрат" sheetId="2" r:id="rId2"/>
    <sheet name="ФО общехоз.затрат" sheetId="3" r:id="rId3"/>
    <sheet name="Полное финобеспечение" sheetId="4" r:id="rId4"/>
  </sheets>
  <externalReferences>
    <externalReference r:id="rId7"/>
  </externalReferences>
  <definedNames>
    <definedName name="_xlnm.Print_Titles" localSheetId="3">'Полное финобеспечение'!$A:$B,'Полное финобеспечение'!$3:$5</definedName>
    <definedName name="_xlnm.Print_Titles" localSheetId="0">'Расчёт баз. нормат.прил.1'!$A:$B,'Расчёт баз. нормат.прил.1'!$3:$6</definedName>
    <definedName name="_xlnm.Print_Titles" localSheetId="1">'ФО непосредств.затрат'!$A:$B,'ФО непосредств.затрат'!$3:$6</definedName>
    <definedName name="_xlnm.Print_Titles" localSheetId="2">'ФО общехоз.затрат'!$A:$B,'ФО общехоз.затрат'!$3:$6</definedName>
    <definedName name="_xlnm.Print_Area" localSheetId="3">'Полное финобеспечение'!$A$1:$F$55</definedName>
    <definedName name="_xlnm.Print_Area" localSheetId="0">'Расчёт баз. нормат.прил.1'!$A$1:$X$56</definedName>
    <definedName name="_xlnm.Print_Area" localSheetId="1">'ФО непосредств.затрат'!$A$1:$AA$56</definedName>
    <definedName name="_xlnm.Print_Area" localSheetId="2">'ФО общехоз.затрат'!$A$1:$T$56</definedName>
  </definedNames>
  <calcPr fullCalcOnLoad="1"/>
</workbook>
</file>

<file path=xl/sharedStrings.xml><?xml version="1.0" encoding="utf-8"?>
<sst xmlns="http://schemas.openxmlformats.org/spreadsheetml/2006/main" count="312" uniqueCount="106">
  <si>
    <t>№п/п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</si>
  <si>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</si>
  <si>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</si>
  <si>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</si>
  <si>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</si>
  <si>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</si>
  <si>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</si>
  <si>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</si>
  <si>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</si>
  <si>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</si>
  <si>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</si>
  <si>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</si>
  <si>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</si>
  <si>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</si>
  <si>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</si>
  <si>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</si>
  <si>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</si>
  <si>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</si>
  <si>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</si>
  <si>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</si>
  <si>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</si>
  <si>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</si>
  <si>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</si>
  <si>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</si>
  <si>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</si>
  <si>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</si>
  <si>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</si>
  <si>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</si>
  <si>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</si>
  <si>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</si>
  <si>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</si>
  <si>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</si>
  <si>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</si>
  <si>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</si>
  <si>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</si>
  <si>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</si>
  <si>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</si>
  <si>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</si>
  <si>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</si>
  <si>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</si>
  <si>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</si>
  <si>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</si>
  <si>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</si>
  <si>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</si>
  <si>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</si>
  <si>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</si>
  <si>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Присмотр и уход</t>
  </si>
  <si>
    <t>денежная норма питания, руб./детодень</t>
  </si>
  <si>
    <t>родительская плата, руб./день</t>
  </si>
  <si>
    <t>потребители услуги</t>
  </si>
  <si>
    <t>базовый норматив на общехозяйственные нужды на одного ребенка , руб./год</t>
  </si>
  <si>
    <t>базовый норматив по присмотру и уходу за детьми от 1 года до 3 лет, руб./год</t>
  </si>
  <si>
    <t>базовый норматив по присмотру и уходу за детьми от 3 лет до 8 лет, руб./год</t>
  </si>
  <si>
    <t>полное финансовое обеспечение за счет затрат, непосредственно связанных с оказанием муниципальной услуги-бюджет, тыс. руб.</t>
  </si>
  <si>
    <t>финансовое обеспечение за счет затрат, непосредственно связанных с оказанием муниципальной услуги, физических лиц от 1 года до 3 лет за исключением льготных категорий-бюджет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</si>
  <si>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1 года до 3 лет-бюджет, тыс. руб.</t>
  </si>
  <si>
    <t>финансовое обеспечение за счет затрат, непосредственно связанных с оказанием муниципальной услуги, детей -инвалидов от 1 года до 3 лет-бюджет, тыс. руб.</t>
  </si>
  <si>
    <t>финансовое обеспечение за счет затрат, непосредственно связанных с оказанием муниципальной услуги, физических лиц от 3 лет до 8 лет за исключением льготных категорий-бюджет, тыс. руб.</t>
  </si>
  <si>
    <t>финансовое обеспечение за счет затрат, непосредственно связанных с оказанием муниципальной услуги, детей -инвалидов от 3 лет до 8 лет-бюджет,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</si>
  <si>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3 лет до 8 лет-бюдждет, тыс. руб.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</si>
  <si>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</si>
  <si>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от 1 года до 3 лет-бюдждет, тыс. руб.</t>
  </si>
  <si>
    <t>финансовое обеспечение за счет общехозяйственных затрат детей -инвалидов от 1 года до 3 лет-бюджет, тыс. руб.</t>
  </si>
  <si>
    <t>Наименование образовательной организации</t>
  </si>
  <si>
    <t>дети-инвалиды от 1 года до 3 лет, чел.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</si>
  <si>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</si>
  <si>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</si>
  <si>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базовый норматив затрат, непосредственно связанных с оказанием муниицпальной услуги по присмотру и уходу, на одного ребенка в год, руб.</t>
  </si>
  <si>
    <t>нормативные затраты, непосредственно связанные с оказанием муниицпальной услуги по присмотру и уходу, на одного ребенка в год, руб.</t>
  </si>
  <si>
    <t xml:space="preserve"> затраты на общехозяйственные нужды на одного ребенка в год , руб.</t>
  </si>
  <si>
    <t>физические лица от 3 лет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</si>
  <si>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</si>
  <si>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</si>
  <si>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образовательные организации</t>
  </si>
  <si>
    <t>отраслевой корректирующий  коэффициент затрат, непосредственно связанных с оказанием муниципальной услуги, учитывающий режим работы учреждения (12 часов; 9-10 часов)</t>
  </si>
  <si>
    <t>физические лица от 3 лет  до 8 лет за исключением льготных категорий, чел.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</si>
  <si>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</si>
  <si>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нужды от 3 лет до 8 лет-бюдждет,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</si>
  <si>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</si>
  <si>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базовый норматив затрат на общехозяйственные нужды на одного ребенка , руб./год</t>
  </si>
  <si>
    <t xml:space="preserve"> расходы на общехозяйственные нужды на одного ребенка , руб./год</t>
  </si>
  <si>
    <t>полное финансовое обеспечение за счет затрат на общехозяйственные нужды-бюджет, тыс. руб.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</si>
  <si>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</si>
  <si>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обеспечение, тыс. руб.</t>
  </si>
  <si>
    <t>Наименование и объём  муниципальной услуги</t>
  </si>
  <si>
    <t>затраты по питанию на одного ребёнка в  год, руб.</t>
  </si>
  <si>
    <t>Наименование и объём муниципальной  услуги</t>
  </si>
  <si>
    <t>Наименование и объём  муниципальнойуслуги</t>
  </si>
  <si>
    <t>отраслевой корректирующий  коэффициент затрат, непосредственно связанных с оказанием муниципальной услуги, учитывающий фактическую выхождаемость детей</t>
  </si>
  <si>
    <t>к приказу Отдела образования от 29.12.2018 №932</t>
  </si>
  <si>
    <t>МБДОУ ДС №2</t>
  </si>
  <si>
    <t>МБДОУ ДС №4</t>
  </si>
  <si>
    <t>МБДОУ ДС №5</t>
  </si>
  <si>
    <t>средняя выхождаемость за 2018 год, %</t>
  </si>
  <si>
    <t>Питание-контроль (из свода), тыс. руб.</t>
  </si>
  <si>
    <t>Разница</t>
  </si>
  <si>
    <t>Наименование муниципальной услуги</t>
  </si>
  <si>
    <t>финансовое обеспечение в части затрат, непосредственно связанных с оказанием муниципальной услуги, тыс. руб.</t>
  </si>
  <si>
    <t>финансовое обеспечение  муниципальных услуг  в части  общехозяйственных  затрат,    тыс. руб.</t>
  </si>
  <si>
    <t>налоги, тыс. руб.</t>
  </si>
  <si>
    <t>Приложение №5</t>
  </si>
  <si>
    <t>Приложение №6</t>
  </si>
  <si>
    <t>Приложение №7</t>
  </si>
  <si>
    <t>Приложение №8</t>
  </si>
  <si>
    <t>отраслевой корректирующий  коэффициент затрат, непосредственно связанных с оказанием муниципальной услуги, учитывающий  остатки продуктов питания на 01.01.2020 года</t>
  </si>
  <si>
    <t>Контроль из свода по ДДУ на 2020год,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</si>
</sst>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177" fontId="5" fillId="33" borderId="0" xfId="54" applyNumberFormat="1" applyFont="1" applyFill="1" applyAlignment="1">
      <alignment horizontal="center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" fontId="6" fillId="33" borderId="0" xfId="54" applyNumberFormat="1" applyFont="1" applyFill="1">
      <alignment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2" fontId="5" fillId="33" borderId="10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4" fontId="9" fillId="33" borderId="11" xfId="54" applyNumberFormat="1" applyFont="1" applyFill="1" applyBorder="1" applyAlignment="1">
      <alignment horizontal="center" wrapText="1"/>
      <protection/>
    </xf>
    <xf numFmtId="2" fontId="9" fillId="33" borderId="12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6" fillId="33" borderId="0" xfId="54" applyNumberFormat="1" applyFont="1" applyFill="1" applyAlignment="1">
      <alignment/>
      <protection/>
    </xf>
    <xf numFmtId="2" fontId="9" fillId="33" borderId="12" xfId="0" applyNumberFormat="1" applyFont="1" applyFill="1" applyBorder="1" applyAlignment="1">
      <alignment wrapText="1"/>
    </xf>
    <xf numFmtId="2" fontId="6" fillId="33" borderId="0" xfId="54" applyNumberFormat="1" applyFont="1" applyFill="1" applyAlignment="1">
      <alignment wrapText="1"/>
      <protection/>
    </xf>
    <xf numFmtId="2" fontId="9" fillId="33" borderId="11" xfId="0" applyNumberFormat="1" applyFont="1" applyFill="1" applyBorder="1" applyAlignment="1">
      <alignment horizontal="center" wrapText="1"/>
    </xf>
    <xf numFmtId="177" fontId="9" fillId="33" borderId="11" xfId="0" applyNumberFormat="1" applyFont="1" applyFill="1" applyBorder="1" applyAlignment="1">
      <alignment horizontal="center"/>
    </xf>
    <xf numFmtId="1" fontId="4" fillId="33" borderId="11" xfId="54" applyNumberFormat="1" applyFont="1" applyFill="1" applyBorder="1" applyAlignment="1">
      <alignment horizontal="center"/>
      <protection/>
    </xf>
    <xf numFmtId="1" fontId="4" fillId="33" borderId="11" xfId="54" applyNumberFormat="1" applyFont="1" applyFill="1" applyBorder="1" applyAlignment="1">
      <alignment horizontal="center" vertical="center"/>
      <protection/>
    </xf>
    <xf numFmtId="182" fontId="9" fillId="33" borderId="11" xfId="54" applyNumberFormat="1" applyFont="1" applyFill="1" applyBorder="1" applyAlignment="1">
      <alignment horizontal="center" wrapText="1"/>
      <protection/>
    </xf>
    <xf numFmtId="4" fontId="9" fillId="33" borderId="12" xfId="54" applyNumberFormat="1" applyFont="1" applyFill="1" applyBorder="1" applyAlignment="1">
      <alignment horizontal="center" wrapText="1"/>
      <protection/>
    </xf>
    <xf numFmtId="3" fontId="9" fillId="33" borderId="12" xfId="54" applyNumberFormat="1" applyFont="1" applyFill="1" applyBorder="1" applyAlignment="1">
      <alignment horizontal="center"/>
      <protection/>
    </xf>
    <xf numFmtId="3" fontId="9" fillId="33" borderId="11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Alignment="1">
      <alignment/>
      <protection/>
    </xf>
    <xf numFmtId="180" fontId="9" fillId="33" borderId="12" xfId="54" applyNumberFormat="1" applyFont="1" applyFill="1" applyBorder="1" applyAlignment="1">
      <alignment horizontal="center"/>
      <protection/>
    </xf>
    <xf numFmtId="180" fontId="9" fillId="33" borderId="11" xfId="0" applyNumberFormat="1" applyFont="1" applyFill="1" applyBorder="1" applyAlignment="1">
      <alignment horizontal="center"/>
    </xf>
    <xf numFmtId="0" fontId="5" fillId="33" borderId="0" xfId="54" applyFont="1" applyFill="1" applyAlignment="1">
      <alignment/>
      <protection/>
    </xf>
    <xf numFmtId="0" fontId="48" fillId="33" borderId="13" xfId="54" applyFont="1" applyFill="1" applyBorder="1" applyAlignment="1">
      <alignment/>
      <protection/>
    </xf>
    <xf numFmtId="0" fontId="6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2" fontId="11" fillId="33" borderId="0" xfId="54" applyNumberFormat="1" applyFont="1" applyFill="1" applyAlignment="1">
      <alignment wrapText="1"/>
      <protection/>
    </xf>
    <xf numFmtId="9" fontId="4" fillId="33" borderId="0" xfId="54" applyNumberFormat="1" applyFont="1" applyFill="1" applyBorder="1" applyAlignment="1">
      <alignment vertical="top" wrapText="1"/>
      <protection/>
    </xf>
    <xf numFmtId="0" fontId="5" fillId="33" borderId="0" xfId="54" applyFont="1" applyFill="1" applyAlignment="1">
      <alignment horizontal="center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0" fontId="48" fillId="33" borderId="0" xfId="54" applyFont="1" applyFill="1" applyBorder="1" applyAlignment="1">
      <alignment horizontal="left"/>
      <protection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177" fontId="9" fillId="33" borderId="12" xfId="0" applyNumberFormat="1" applyFont="1" applyFill="1" applyBorder="1" applyAlignment="1">
      <alignment horizontal="center" vertical="center"/>
    </xf>
    <xf numFmtId="0" fontId="9" fillId="33" borderId="12" xfId="53" applyFont="1" applyFill="1" applyBorder="1" applyAlignment="1">
      <alignment horizontal="center" vertical="center"/>
      <protection/>
    </xf>
    <xf numFmtId="1" fontId="9" fillId="33" borderId="12" xfId="53" applyNumberFormat="1" applyFont="1" applyFill="1" applyBorder="1" applyAlignment="1">
      <alignment horizontal="center" vertical="center"/>
      <protection/>
    </xf>
    <xf numFmtId="0" fontId="9" fillId="34" borderId="16" xfId="53" applyFont="1" applyFill="1" applyBorder="1" applyAlignment="1">
      <alignment horizontal="center"/>
      <protection/>
    </xf>
    <xf numFmtId="1" fontId="9" fillId="34" borderId="16" xfId="53" applyNumberFormat="1" applyFont="1" applyFill="1" applyBorder="1" applyAlignment="1">
      <alignment horizontal="center"/>
      <protection/>
    </xf>
    <xf numFmtId="1" fontId="9" fillId="34" borderId="16" xfId="55" applyNumberFormat="1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1" fontId="9" fillId="33" borderId="12" xfId="53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top" wrapText="1"/>
      <protection/>
    </xf>
    <xf numFmtId="3" fontId="9" fillId="33" borderId="12" xfId="54" applyNumberFormat="1" applyFont="1" applyFill="1" applyBorder="1" applyAlignment="1">
      <alignment horizontal="center" vertical="center" wrapText="1"/>
      <protection/>
    </xf>
    <xf numFmtId="3" fontId="9" fillId="33" borderId="17" xfId="54" applyNumberFormat="1" applyFont="1" applyFill="1" applyBorder="1" applyAlignment="1">
      <alignment horizontal="center" vertical="center" wrapText="1"/>
      <protection/>
    </xf>
    <xf numFmtId="4" fontId="9" fillId="33" borderId="17" xfId="54" applyNumberFormat="1" applyFont="1" applyFill="1" applyBorder="1" applyAlignment="1">
      <alignment horizontal="center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4" fontId="9" fillId="33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 wrapText="1"/>
    </xf>
    <xf numFmtId="180" fontId="6" fillId="33" borderId="0" xfId="54" applyNumberFormat="1" applyFont="1" applyFill="1" applyAlignment="1">
      <alignment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" fontId="9" fillId="33" borderId="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Border="1" applyAlignment="1">
      <alignment horizontal="center"/>
      <protection/>
    </xf>
    <xf numFmtId="4" fontId="9" fillId="33" borderId="0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0" fontId="6" fillId="33" borderId="0" xfId="54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2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/>
      <protection/>
    </xf>
    <xf numFmtId="2" fontId="8" fillId="33" borderId="0" xfId="54" applyNumberFormat="1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vertical="top" wrapText="1"/>
      <protection/>
    </xf>
    <xf numFmtId="180" fontId="8" fillId="33" borderId="18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 wrapText="1"/>
    </xf>
    <xf numFmtId="0" fontId="6" fillId="33" borderId="0" xfId="54" applyFont="1" applyFill="1" applyBorder="1" applyAlignment="1">
      <alignment horizontal="center" wrapText="1"/>
      <protection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Border="1" applyAlignment="1">
      <alignment wrapText="1"/>
      <protection/>
    </xf>
    <xf numFmtId="0" fontId="6" fillId="33" borderId="0" xfId="54" applyFont="1" applyFill="1" applyBorder="1" applyAlignment="1">
      <alignment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 wrapText="1"/>
      <protection/>
    </xf>
    <xf numFmtId="180" fontId="9" fillId="33" borderId="0" xfId="0" applyNumberFormat="1" applyFont="1" applyFill="1" applyBorder="1" applyAlignment="1">
      <alignment horizontal="center"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3" fontId="9" fillId="33" borderId="12" xfId="54" applyNumberFormat="1" applyFont="1" applyFill="1" applyBorder="1" applyAlignment="1">
      <alignment horizontal="center" wrapText="1"/>
      <protection/>
    </xf>
    <xf numFmtId="180" fontId="6" fillId="33" borderId="0" xfId="54" applyNumberFormat="1" applyFont="1" applyFill="1">
      <alignment/>
      <protection/>
    </xf>
    <xf numFmtId="0" fontId="6" fillId="33" borderId="0" xfId="54" applyFont="1" applyFill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6" fontId="6" fillId="33" borderId="0" xfId="54" applyNumberFormat="1" applyFont="1" applyFill="1" applyAlignment="1">
      <alignment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77" fontId="9" fillId="33" borderId="12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right"/>
      <protection/>
    </xf>
    <xf numFmtId="0" fontId="9" fillId="33" borderId="17" xfId="54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2" fillId="33" borderId="13" xfId="54" applyFont="1" applyFill="1" applyBorder="1" applyAlignment="1">
      <alignment horizontal="right"/>
      <protection/>
    </xf>
    <xf numFmtId="0" fontId="7" fillId="33" borderId="0" xfId="0" applyFont="1" applyFill="1" applyBorder="1" applyAlignment="1">
      <alignment horizontal="center"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177" fontId="9" fillId="33" borderId="19" xfId="54" applyNumberFormat="1" applyFont="1" applyFill="1" applyBorder="1" applyAlignment="1">
      <alignment horizontal="center" vertical="center" wrapText="1"/>
      <protection/>
    </xf>
    <xf numFmtId="177" fontId="9" fillId="33" borderId="20" xfId="54" applyNumberFormat="1" applyFont="1" applyFill="1" applyBorder="1" applyAlignment="1">
      <alignment horizontal="center" vertical="center" wrapText="1"/>
      <protection/>
    </xf>
    <xf numFmtId="177" fontId="9" fillId="33" borderId="14" xfId="54" applyNumberFormat="1" applyFont="1" applyFill="1" applyBorder="1" applyAlignment="1">
      <alignment horizontal="center" vertical="center" wrapText="1"/>
      <protection/>
    </xf>
    <xf numFmtId="1" fontId="5" fillId="33" borderId="12" xfId="54" applyNumberFormat="1" applyFont="1" applyFill="1" applyBorder="1" applyAlignment="1">
      <alignment horizontal="center" wrapText="1"/>
      <protection/>
    </xf>
    <xf numFmtId="2" fontId="5" fillId="33" borderId="12" xfId="54" applyNumberFormat="1" applyFont="1" applyFill="1" applyBorder="1" applyAlignment="1">
      <alignment wrapText="1"/>
      <protection/>
    </xf>
    <xf numFmtId="3" fontId="8" fillId="33" borderId="12" xfId="54" applyNumberFormat="1" applyFont="1" applyFill="1" applyBorder="1" applyAlignment="1">
      <alignment horizontal="center" wrapText="1"/>
      <protection/>
    </xf>
    <xf numFmtId="2" fontId="8" fillId="33" borderId="12" xfId="54" applyNumberFormat="1" applyFont="1" applyFill="1" applyBorder="1" applyAlignment="1">
      <alignment horizontal="center" wrapText="1"/>
      <protection/>
    </xf>
    <xf numFmtId="177" fontId="8" fillId="33" borderId="12" xfId="54" applyNumberFormat="1" applyFont="1" applyFill="1" applyBorder="1" applyAlignment="1">
      <alignment horizontal="center" wrapText="1"/>
      <protection/>
    </xf>
    <xf numFmtId="4" fontId="8" fillId="33" borderId="12" xfId="54" applyNumberFormat="1" applyFont="1" applyFill="1" applyBorder="1" applyAlignment="1">
      <alignment horizontal="center" wrapText="1"/>
      <protection/>
    </xf>
    <xf numFmtId="1" fontId="8" fillId="33" borderId="12" xfId="54" applyNumberFormat="1" applyFont="1" applyFill="1" applyBorder="1" applyAlignment="1">
      <alignment horizontal="center" wrapText="1"/>
      <protection/>
    </xf>
    <xf numFmtId="177" fontId="8" fillId="33" borderId="12" xfId="0" applyNumberFormat="1" applyFont="1" applyFill="1" applyBorder="1" applyAlignment="1">
      <alignment horizontal="center"/>
    </xf>
    <xf numFmtId="4" fontId="8" fillId="33" borderId="12" xfId="54" applyNumberFormat="1" applyFont="1" applyFill="1" applyBorder="1" applyAlignment="1">
      <alignment/>
      <protection/>
    </xf>
    <xf numFmtId="3" fontId="8" fillId="33" borderId="12" xfId="54" applyNumberFormat="1" applyFont="1" applyFill="1" applyBorder="1" applyAlignment="1">
      <alignment horizontal="center"/>
      <protection/>
    </xf>
    <xf numFmtId="180" fontId="8" fillId="33" borderId="12" xfId="0" applyNumberFormat="1" applyFont="1" applyFill="1" applyBorder="1" applyAlignment="1">
      <alignment horizontal="center" wrapText="1"/>
    </xf>
    <xf numFmtId="177" fontId="9" fillId="33" borderId="12" xfId="0" applyNumberFormat="1" applyFont="1" applyFill="1" applyBorder="1" applyAlignment="1">
      <alignment horizontal="center"/>
    </xf>
    <xf numFmtId="0" fontId="5" fillId="0" borderId="0" xfId="54" applyFont="1" applyFill="1" applyAlignment="1">
      <alignment/>
      <protection/>
    </xf>
    <xf numFmtId="0" fontId="4" fillId="0" borderId="0" xfId="54" applyFont="1" applyFill="1" applyBorder="1" applyAlignment="1">
      <alignment horizontal="right"/>
      <protection/>
    </xf>
    <xf numFmtId="0" fontId="6" fillId="0" borderId="0" xfId="54" applyFont="1" applyFill="1">
      <alignment/>
      <protection/>
    </xf>
    <xf numFmtId="0" fontId="48" fillId="0" borderId="13" xfId="54" applyFont="1" applyFill="1" applyBorder="1" applyAlignment="1">
      <alignment horizontal="left"/>
      <protection/>
    </xf>
    <xf numFmtId="0" fontId="12" fillId="0" borderId="13" xfId="54" applyFont="1" applyFill="1" applyBorder="1" applyAlignment="1">
      <alignment horizontal="right"/>
      <protection/>
    </xf>
    <xf numFmtId="0" fontId="5" fillId="0" borderId="0" xfId="54" applyFont="1" applyFill="1" applyAlignment="1">
      <alignment horizontal="center"/>
      <protection/>
    </xf>
    <xf numFmtId="177" fontId="5" fillId="0" borderId="0" xfId="54" applyNumberFormat="1" applyFont="1" applyFill="1" applyAlignment="1">
      <alignment horizont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177" fontId="4" fillId="0" borderId="19" xfId="54" applyNumberFormat="1" applyFont="1" applyFill="1" applyBorder="1" applyAlignment="1">
      <alignment horizontal="center" vertical="center" wrapText="1"/>
      <protection/>
    </xf>
    <xf numFmtId="177" fontId="4" fillId="0" borderId="20" xfId="54" applyNumberFormat="1" applyFont="1" applyFill="1" applyBorder="1" applyAlignment="1">
      <alignment horizontal="center" vertical="center" wrapText="1"/>
      <protection/>
    </xf>
    <xf numFmtId="177" fontId="4" fillId="0" borderId="14" xfId="54" applyNumberFormat="1" applyFont="1" applyFill="1" applyBorder="1" applyAlignment="1">
      <alignment horizontal="center" vertical="center" wrapText="1"/>
      <protection/>
    </xf>
    <xf numFmtId="177" fontId="4" fillId="0" borderId="12" xfId="54" applyNumberFormat="1" applyFont="1" applyFill="1" applyBorder="1" applyAlignment="1">
      <alignment horizontal="center" vertical="center" wrapText="1"/>
      <protection/>
    </xf>
    <xf numFmtId="177" fontId="4" fillId="0" borderId="0" xfId="54" applyNumberFormat="1" applyFont="1" applyFill="1" applyBorder="1" applyAlignment="1">
      <alignment vertical="center" wrapText="1"/>
      <protection/>
    </xf>
    <xf numFmtId="0" fontId="6" fillId="0" borderId="0" xfId="54" applyFont="1" applyFill="1" applyBorder="1">
      <alignment/>
      <protection/>
    </xf>
    <xf numFmtId="0" fontId="4" fillId="0" borderId="18" xfId="54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177" fontId="4" fillId="0" borderId="17" xfId="54" applyNumberFormat="1" applyFont="1" applyFill="1" applyBorder="1" applyAlignment="1">
      <alignment horizontal="center" vertical="center" wrapText="1"/>
      <protection/>
    </xf>
    <xf numFmtId="177" fontId="4" fillId="0" borderId="23" xfId="54" applyNumberFormat="1" applyFont="1" applyFill="1" applyBorder="1" applyAlignment="1">
      <alignment horizontal="center" vertical="center" wrapText="1"/>
      <protection/>
    </xf>
    <xf numFmtId="177" fontId="4" fillId="0" borderId="13" xfId="54" applyNumberFormat="1" applyFont="1" applyFill="1" applyBorder="1" applyAlignment="1">
      <alignment horizontal="center" vertical="center" wrapText="1"/>
      <protection/>
    </xf>
    <xf numFmtId="177" fontId="4" fillId="0" borderId="15" xfId="54" applyNumberFormat="1" applyFont="1" applyFill="1" applyBorder="1" applyAlignment="1">
      <alignment horizontal="center" vertical="center" wrapText="1"/>
      <protection/>
    </xf>
    <xf numFmtId="177" fontId="4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177" fontId="4" fillId="0" borderId="21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177" fontId="4" fillId="0" borderId="18" xfId="54" applyNumberFormat="1" applyFont="1" applyFill="1" applyBorder="1" applyAlignment="1">
      <alignment horizontal="center" vertical="center" wrapText="1"/>
      <protection/>
    </xf>
    <xf numFmtId="177" fontId="4" fillId="0" borderId="12" xfId="54" applyNumberFormat="1" applyFont="1" applyFill="1" applyBorder="1" applyAlignment="1">
      <alignment horizontal="center" vertical="center" wrapText="1"/>
      <protection/>
    </xf>
    <xf numFmtId="177" fontId="4" fillId="0" borderId="14" xfId="54" applyNumberFormat="1" applyFont="1" applyFill="1" applyBorder="1" applyAlignment="1">
      <alignment horizontal="center" vertical="center" wrapText="1"/>
      <protection/>
    </xf>
    <xf numFmtId="177" fontId="4" fillId="0" borderId="24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1" fontId="4" fillId="0" borderId="11" xfId="54" applyNumberFormat="1" applyFont="1" applyFill="1" applyBorder="1" applyAlignment="1">
      <alignment horizontal="center" vertical="center"/>
      <protection/>
    </xf>
    <xf numFmtId="1" fontId="6" fillId="0" borderId="0" xfId="54" applyNumberFormat="1" applyFont="1" applyFill="1">
      <alignment/>
      <protection/>
    </xf>
    <xf numFmtId="1" fontId="6" fillId="0" borderId="12" xfId="54" applyNumberFormat="1" applyFont="1" applyFill="1" applyBorder="1">
      <alignment/>
      <protection/>
    </xf>
    <xf numFmtId="1" fontId="4" fillId="0" borderId="11" xfId="54" applyNumberFormat="1" applyFont="1" applyFill="1" applyBorder="1" applyAlignment="1">
      <alignment horizontal="center"/>
      <protection/>
    </xf>
    <xf numFmtId="2" fontId="9" fillId="0" borderId="1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3" fontId="9" fillId="0" borderId="11" xfId="54" applyNumberFormat="1" applyFont="1" applyFill="1" applyBorder="1" applyAlignment="1">
      <alignment horizontal="center" wrapText="1"/>
      <protection/>
    </xf>
    <xf numFmtId="176" fontId="9" fillId="0" borderId="11" xfId="54" applyNumberFormat="1" applyFont="1" applyFill="1" applyBorder="1" applyAlignment="1">
      <alignment horizontal="center" wrapText="1"/>
      <protection/>
    </xf>
    <xf numFmtId="177" fontId="9" fillId="0" borderId="11" xfId="0" applyNumberFormat="1" applyFont="1" applyFill="1" applyBorder="1" applyAlignment="1">
      <alignment horizontal="center"/>
    </xf>
    <xf numFmtId="1" fontId="9" fillId="0" borderId="11" xfId="54" applyNumberFormat="1" applyFont="1" applyFill="1" applyBorder="1" applyAlignment="1">
      <alignment horizontal="center" vertical="center" wrapText="1"/>
      <protection/>
    </xf>
    <xf numFmtId="180" fontId="9" fillId="0" borderId="12" xfId="54" applyNumberFormat="1" applyFont="1" applyFill="1" applyBorder="1" applyAlignment="1">
      <alignment horizontal="center"/>
      <protection/>
    </xf>
    <xf numFmtId="2" fontId="6" fillId="0" borderId="0" xfId="54" applyNumberFormat="1" applyFont="1" applyFill="1" applyAlignment="1">
      <alignment/>
      <protection/>
    </xf>
    <xf numFmtId="180" fontId="6" fillId="0" borderId="12" xfId="54" applyNumberFormat="1" applyFont="1" applyFill="1" applyBorder="1" applyAlignment="1">
      <alignment/>
      <protection/>
    </xf>
    <xf numFmtId="2" fontId="6" fillId="0" borderId="12" xfId="54" applyNumberFormat="1" applyFont="1" applyFill="1" applyBorder="1" applyAlignment="1">
      <alignment/>
      <protection/>
    </xf>
    <xf numFmtId="3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2" xfId="54" applyNumberFormat="1" applyFont="1" applyFill="1" applyBorder="1" applyAlignment="1">
      <alignment horizontal="center" vertical="center" wrapText="1"/>
      <protection/>
    </xf>
    <xf numFmtId="177" fontId="9" fillId="0" borderId="12" xfId="0" applyNumberFormat="1" applyFont="1" applyFill="1" applyBorder="1" applyAlignment="1">
      <alignment horizontal="center" vertical="center"/>
    </xf>
    <xf numFmtId="3" fontId="9" fillId="0" borderId="12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2" fontId="9" fillId="0" borderId="12" xfId="0" applyNumberFormat="1" applyFont="1" applyFill="1" applyBorder="1" applyAlignment="1">
      <alignment wrapText="1"/>
    </xf>
    <xf numFmtId="3" fontId="9" fillId="0" borderId="16" xfId="53" applyNumberFormat="1" applyFont="1" applyFill="1" applyBorder="1" applyAlignment="1">
      <alignment horizontal="center"/>
      <protection/>
    </xf>
    <xf numFmtId="0" fontId="9" fillId="0" borderId="16" xfId="53" applyFont="1" applyFill="1" applyBorder="1" applyAlignment="1">
      <alignment horizontal="center"/>
      <protection/>
    </xf>
    <xf numFmtId="1" fontId="9" fillId="0" borderId="16" xfId="53" applyNumberFormat="1" applyFont="1" applyFill="1" applyBorder="1" applyAlignment="1">
      <alignment horizontal="center"/>
      <protection/>
    </xf>
    <xf numFmtId="1" fontId="9" fillId="0" borderId="16" xfId="55" applyNumberFormat="1" applyFont="1" applyFill="1" applyBorder="1" applyAlignment="1">
      <alignment horizontal="center" vertical="top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1" fontId="9" fillId="0" borderId="12" xfId="53" applyNumberFormat="1" applyFont="1" applyFill="1" applyBorder="1" applyAlignment="1">
      <alignment horizontal="center" vertical="center" wrapText="1"/>
      <protection/>
    </xf>
    <xf numFmtId="180" fontId="6" fillId="0" borderId="12" xfId="54" applyNumberFormat="1" applyFont="1" applyFill="1" applyBorder="1" applyAlignment="1">
      <alignment wrapText="1"/>
      <protection/>
    </xf>
    <xf numFmtId="2" fontId="6" fillId="0" borderId="0" xfId="54" applyNumberFormat="1" applyFont="1" applyFill="1" applyAlignment="1">
      <alignment wrapText="1"/>
      <protection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9" fillId="0" borderId="12" xfId="54" applyNumberFormat="1" applyFont="1" applyFill="1" applyBorder="1" applyAlignment="1">
      <alignment horizontal="center" vertical="top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" fontId="5" fillId="0" borderId="17" xfId="54" applyNumberFormat="1" applyFont="1" applyFill="1" applyBorder="1" applyAlignment="1">
      <alignment horizontal="center" wrapText="1"/>
      <protection/>
    </xf>
    <xf numFmtId="2" fontId="5" fillId="0" borderId="17" xfId="54" applyNumberFormat="1" applyFont="1" applyFill="1" applyBorder="1" applyAlignment="1">
      <alignment wrapText="1"/>
      <protection/>
    </xf>
    <xf numFmtId="3" fontId="8" fillId="0" borderId="17" xfId="54" applyNumberFormat="1" applyFont="1" applyFill="1" applyBorder="1" applyAlignment="1">
      <alignment horizontal="center" wrapText="1"/>
      <protection/>
    </xf>
    <xf numFmtId="4" fontId="8" fillId="0" borderId="17" xfId="54" applyNumberFormat="1" applyFont="1" applyFill="1" applyBorder="1" applyAlignment="1">
      <alignment horizontal="center" wrapText="1"/>
      <protection/>
    </xf>
    <xf numFmtId="177" fontId="8" fillId="0" borderId="17" xfId="0" applyNumberFormat="1" applyFont="1" applyFill="1" applyBorder="1" applyAlignment="1">
      <alignment horizontal="center" wrapText="1"/>
    </xf>
    <xf numFmtId="2" fontId="8" fillId="0" borderId="17" xfId="54" applyNumberFormat="1" applyFont="1" applyFill="1" applyBorder="1" applyAlignment="1">
      <alignment horizontal="center" wrapText="1"/>
      <protection/>
    </xf>
    <xf numFmtId="180" fontId="8" fillId="0" borderId="17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2" fontId="11" fillId="0" borderId="0" xfId="54" applyNumberFormat="1" applyFont="1" applyFill="1" applyAlignment="1">
      <alignment wrapText="1"/>
      <protection/>
    </xf>
    <xf numFmtId="1" fontId="4" fillId="0" borderId="0" xfId="54" applyNumberFormat="1" applyFont="1" applyFill="1" applyBorder="1" applyAlignment="1">
      <alignment horizontal="center" wrapText="1"/>
      <protection/>
    </xf>
    <xf numFmtId="2" fontId="4" fillId="0" borderId="0" xfId="54" applyNumberFormat="1" applyFont="1" applyFill="1" applyBorder="1" applyAlignment="1">
      <alignment wrapText="1"/>
      <protection/>
    </xf>
    <xf numFmtId="3" fontId="9" fillId="0" borderId="0" xfId="54" applyNumberFormat="1" applyFont="1" applyFill="1" applyBorder="1" applyAlignment="1">
      <alignment horizontal="center" vertical="top" wrapText="1"/>
      <protection/>
    </xf>
    <xf numFmtId="3" fontId="8" fillId="0" borderId="0" xfId="54" applyNumberFormat="1" applyFont="1" applyFill="1" applyBorder="1" applyAlignment="1">
      <alignment horizontal="center" vertical="top" wrapText="1"/>
      <protection/>
    </xf>
    <xf numFmtId="3" fontId="9" fillId="0" borderId="0" xfId="54" applyNumberFormat="1" applyFont="1" applyFill="1" applyBorder="1" applyAlignment="1">
      <alignment horizontal="center" wrapText="1"/>
      <protection/>
    </xf>
    <xf numFmtId="182" fontId="9" fillId="0" borderId="0" xfId="54" applyNumberFormat="1" applyFont="1" applyFill="1" applyBorder="1" applyAlignment="1">
      <alignment horizontal="center" wrapText="1"/>
      <protection/>
    </xf>
    <xf numFmtId="177" fontId="9" fillId="0" borderId="0" xfId="0" applyNumberFormat="1" applyFont="1" applyFill="1" applyBorder="1" applyAlignment="1">
      <alignment horizontal="center"/>
    </xf>
    <xf numFmtId="0" fontId="6" fillId="0" borderId="0" xfId="54" applyFont="1" applyFill="1" applyBorder="1" applyAlignment="1">
      <alignment horizontal="center"/>
      <protection/>
    </xf>
    <xf numFmtId="176" fontId="9" fillId="0" borderId="0" xfId="54" applyNumberFormat="1" applyFont="1" applyFill="1" applyBorder="1" applyAlignment="1">
      <alignment horizontal="center" wrapText="1"/>
      <protection/>
    </xf>
    <xf numFmtId="180" fontId="9" fillId="0" borderId="0" xfId="54" applyNumberFormat="1" applyFont="1" applyFill="1" applyBorder="1" applyAlignment="1">
      <alignment horizontal="center"/>
      <protection/>
    </xf>
    <xf numFmtId="2" fontId="6" fillId="0" borderId="0" xfId="54" applyNumberFormat="1" applyFont="1" applyFill="1" applyBorder="1" applyAlignment="1">
      <alignment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2" fontId="5" fillId="0" borderId="0" xfId="54" applyNumberFormat="1" applyFont="1" applyFill="1" applyBorder="1" applyAlignment="1">
      <alignment wrapText="1"/>
      <protection/>
    </xf>
    <xf numFmtId="3" fontId="8" fillId="0" borderId="0" xfId="54" applyNumberFormat="1" applyFont="1" applyFill="1" applyBorder="1" applyAlignment="1">
      <alignment horizontal="center" wrapText="1"/>
      <protection/>
    </xf>
    <xf numFmtId="4" fontId="8" fillId="0" borderId="0" xfId="54" applyNumberFormat="1" applyFont="1" applyFill="1" applyBorder="1" applyAlignment="1">
      <alignment horizontal="center" wrapText="1"/>
      <protection/>
    </xf>
    <xf numFmtId="177" fontId="8" fillId="0" borderId="0" xfId="54" applyNumberFormat="1" applyFont="1" applyFill="1" applyBorder="1" applyAlignment="1">
      <alignment horizontal="center" wrapText="1"/>
      <protection/>
    </xf>
    <xf numFmtId="180" fontId="8" fillId="0" borderId="0" xfId="54" applyNumberFormat="1" applyFont="1" applyFill="1" applyBorder="1" applyAlignment="1">
      <alignment horizontal="center" wrapText="1"/>
      <protection/>
    </xf>
    <xf numFmtId="2" fontId="11" fillId="0" borderId="0" xfId="54" applyNumberFormat="1" applyFont="1" applyFill="1" applyBorder="1" applyAlignment="1">
      <alignment wrapText="1"/>
      <protection/>
    </xf>
    <xf numFmtId="2" fontId="5" fillId="0" borderId="10" xfId="54" applyNumberFormat="1" applyFont="1" applyFill="1" applyBorder="1" applyAlignment="1">
      <alignment vertical="top" wrapText="1"/>
      <protection/>
    </xf>
    <xf numFmtId="2" fontId="4" fillId="0" borderId="0" xfId="54" applyNumberFormat="1" applyFont="1" applyFill="1" applyBorder="1" applyAlignment="1">
      <alignment vertical="top" wrapText="1"/>
      <protection/>
    </xf>
    <xf numFmtId="1" fontId="4" fillId="0" borderId="0" xfId="54" applyNumberFormat="1" applyFont="1" applyFill="1" applyBorder="1" applyAlignment="1">
      <alignment horizontal="center" vertical="top" wrapText="1"/>
      <protection/>
    </xf>
    <xf numFmtId="0" fontId="4" fillId="0" borderId="0" xfId="54" applyFont="1" applyFill="1" applyBorder="1" applyAlignment="1">
      <alignment horizontal="center" vertical="top" wrapText="1"/>
      <protection/>
    </xf>
    <xf numFmtId="0" fontId="4" fillId="0" borderId="0" xfId="54" applyFont="1" applyFill="1" applyBorder="1" applyAlignment="1">
      <alignment vertical="top" wrapText="1"/>
      <protection/>
    </xf>
    <xf numFmtId="1" fontId="4" fillId="0" borderId="0" xfId="54" applyNumberFormat="1" applyFont="1" applyFill="1" applyBorder="1" applyAlignment="1">
      <alignment horizontal="center" vertical="top" wrapText="1"/>
      <protection/>
    </xf>
    <xf numFmtId="180" fontId="4" fillId="0" borderId="0" xfId="54" applyNumberFormat="1" applyFont="1" applyFill="1" applyBorder="1" applyAlignment="1">
      <alignment horizontal="center" vertical="top" wrapText="1"/>
      <protection/>
    </xf>
    <xf numFmtId="177" fontId="4" fillId="0" borderId="0" xfId="54" applyNumberFormat="1" applyFont="1" applyFill="1" applyBorder="1">
      <alignment/>
      <protection/>
    </xf>
    <xf numFmtId="0" fontId="4" fillId="0" borderId="0" xfId="54" applyFont="1" applyFill="1" applyBorder="1" applyAlignment="1">
      <alignment horizontal="left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0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177" fontId="5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>
      <alignment/>
      <protection/>
    </xf>
    <xf numFmtId="177" fontId="4" fillId="0" borderId="0" xfId="54" applyNumberFormat="1" applyFont="1" applyFill="1">
      <alignment/>
      <protection/>
    </xf>
    <xf numFmtId="180" fontId="8" fillId="33" borderId="12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87;&#1086;%20&#1044;&#1044;&#1059;-611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"/>
      <sheetName val="2018-без налогов"/>
    </sheetNames>
    <sheetDataSet>
      <sheetData sheetId="1">
        <row r="4">
          <cell r="AY4">
            <v>1126.9</v>
          </cell>
        </row>
        <row r="5">
          <cell r="AY5">
            <v>1341.2</v>
          </cell>
        </row>
        <row r="6">
          <cell r="AY6">
            <v>1521.2</v>
          </cell>
        </row>
        <row r="7">
          <cell r="AY7">
            <v>2316.7</v>
          </cell>
        </row>
        <row r="8">
          <cell r="AY8">
            <v>2282.9</v>
          </cell>
        </row>
        <row r="9">
          <cell r="AY9">
            <v>1462.1</v>
          </cell>
        </row>
        <row r="10">
          <cell r="AY10">
            <v>2285.4</v>
          </cell>
        </row>
        <row r="11">
          <cell r="AY11">
            <v>2154.7</v>
          </cell>
        </row>
        <row r="12">
          <cell r="AY12">
            <v>2765.8</v>
          </cell>
        </row>
        <row r="13">
          <cell r="AY13">
            <v>2443.2</v>
          </cell>
        </row>
        <row r="14">
          <cell r="AY14">
            <v>1910.7</v>
          </cell>
        </row>
        <row r="15">
          <cell r="AY15">
            <v>735.4</v>
          </cell>
        </row>
        <row r="16">
          <cell r="AY16">
            <v>475.8</v>
          </cell>
        </row>
        <row r="17">
          <cell r="AY17">
            <v>1008.3</v>
          </cell>
        </row>
        <row r="18">
          <cell r="AY18">
            <v>854.2</v>
          </cell>
        </row>
        <row r="19">
          <cell r="AY19">
            <v>836</v>
          </cell>
        </row>
        <row r="20">
          <cell r="AY20">
            <v>924.2</v>
          </cell>
        </row>
        <row r="21">
          <cell r="AY21">
            <v>675.4</v>
          </cell>
        </row>
        <row r="22">
          <cell r="AY22">
            <v>721.3</v>
          </cell>
        </row>
        <row r="23">
          <cell r="AY23">
            <v>705.8</v>
          </cell>
        </row>
        <row r="24">
          <cell r="AY24">
            <v>689.7</v>
          </cell>
        </row>
        <row r="25">
          <cell r="AY25">
            <v>1149</v>
          </cell>
        </row>
        <row r="26">
          <cell r="AY26">
            <v>1141.7</v>
          </cell>
        </row>
        <row r="27">
          <cell r="AY27">
            <v>1229.3</v>
          </cell>
        </row>
        <row r="28">
          <cell r="AY28">
            <v>1223.6</v>
          </cell>
        </row>
        <row r="29">
          <cell r="AY29">
            <v>1495.6</v>
          </cell>
        </row>
        <row r="30">
          <cell r="AY30">
            <v>698.7</v>
          </cell>
        </row>
        <row r="31">
          <cell r="AY31">
            <v>523.6</v>
          </cell>
        </row>
        <row r="32">
          <cell r="AY32">
            <v>613</v>
          </cell>
        </row>
        <row r="33">
          <cell r="AY33">
            <v>750.9</v>
          </cell>
        </row>
        <row r="34">
          <cell r="AY34">
            <v>754.3</v>
          </cell>
        </row>
        <row r="35">
          <cell r="AY35">
            <v>151.4</v>
          </cell>
        </row>
        <row r="36">
          <cell r="AY36">
            <v>1020.1</v>
          </cell>
        </row>
        <row r="37">
          <cell r="AY37">
            <v>433.9</v>
          </cell>
        </row>
        <row r="38">
          <cell r="AY38">
            <v>754</v>
          </cell>
        </row>
        <row r="39">
          <cell r="AY39">
            <v>1102.6</v>
          </cell>
        </row>
        <row r="40">
          <cell r="AY40">
            <v>685.4</v>
          </cell>
        </row>
        <row r="41">
          <cell r="AY41">
            <v>741.5</v>
          </cell>
        </row>
        <row r="42">
          <cell r="AY42">
            <v>762.1</v>
          </cell>
        </row>
        <row r="43">
          <cell r="AY43">
            <v>648.7</v>
          </cell>
        </row>
        <row r="44">
          <cell r="AY44">
            <v>620.3</v>
          </cell>
        </row>
        <row r="45">
          <cell r="AY45">
            <v>498</v>
          </cell>
        </row>
        <row r="46">
          <cell r="AY46">
            <v>308.3</v>
          </cell>
        </row>
        <row r="47">
          <cell r="AY47">
            <v>449.6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view="pageBreakPreview" zoomScale="81" zoomScaleNormal="71" zoomScaleSheetLayoutView="81" zoomScalePageLayoutView="0" workbookViewId="0" topLeftCell="A1">
      <pane xSplit="2" ySplit="6" topLeftCell="R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6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5" width="17.28125" style="13" customWidth="1"/>
    <col min="6" max="6" width="18.140625" style="13" customWidth="1"/>
    <col min="7" max="7" width="20.00390625" style="13" customWidth="1"/>
    <col min="8" max="8" width="21.00390625" style="14" customWidth="1"/>
    <col min="9" max="9" width="18.421875" style="14" customWidth="1"/>
    <col min="10" max="13" width="19.28125" style="14" customWidth="1"/>
    <col min="14" max="16" width="18.28125" style="14" customWidth="1"/>
    <col min="17" max="17" width="17.140625" style="14" customWidth="1"/>
    <col min="18" max="18" width="19.140625" style="1" customWidth="1"/>
    <col min="19" max="19" width="16.57421875" style="1" customWidth="1"/>
    <col min="20" max="20" width="21.28125" style="1" customWidth="1"/>
    <col min="21" max="21" width="25.140625" style="1" customWidth="1"/>
    <col min="22" max="22" width="26.00390625" style="1" customWidth="1"/>
    <col min="23" max="24" width="28.7109375" style="1" customWidth="1"/>
    <col min="25" max="16384" width="9.140625" style="1" customWidth="1"/>
  </cols>
  <sheetData>
    <row r="1" spans="1:17" ht="15.75">
      <c r="A1" s="38"/>
      <c r="B1" s="38"/>
      <c r="C1" s="38"/>
      <c r="D1" s="38"/>
      <c r="E1" s="38"/>
      <c r="F1" s="38"/>
      <c r="G1" s="125" t="s">
        <v>100</v>
      </c>
      <c r="H1" s="125"/>
      <c r="I1" s="38"/>
      <c r="J1" s="38"/>
      <c r="K1" s="38"/>
      <c r="L1" s="38"/>
      <c r="M1" s="38"/>
      <c r="N1" s="38"/>
      <c r="O1" s="38"/>
      <c r="P1" s="38"/>
      <c r="Q1" s="38"/>
    </row>
    <row r="2" spans="1:26" ht="18.75">
      <c r="A2" s="39"/>
      <c r="B2" s="39"/>
      <c r="C2" s="39"/>
      <c r="D2" s="39"/>
      <c r="E2" s="126" t="s">
        <v>89</v>
      </c>
      <c r="F2" s="126"/>
      <c r="G2" s="126"/>
      <c r="H2" s="126"/>
      <c r="I2" s="2"/>
      <c r="J2" s="2"/>
      <c r="K2" s="2"/>
      <c r="L2" s="2"/>
      <c r="M2" s="2"/>
      <c r="N2" s="2"/>
      <c r="O2" s="2"/>
      <c r="P2" s="2"/>
      <c r="Q2" s="2"/>
      <c r="T2" s="40"/>
      <c r="U2" s="40"/>
      <c r="V2" s="40"/>
      <c r="W2" s="40"/>
      <c r="X2" s="40"/>
      <c r="Y2" s="40"/>
      <c r="Z2" s="40"/>
    </row>
    <row r="3" spans="1:26" ht="27.75" customHeight="1">
      <c r="A3" s="131" t="s">
        <v>0</v>
      </c>
      <c r="B3" s="128" t="s">
        <v>63</v>
      </c>
      <c r="C3" s="122" t="s">
        <v>84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2" t="s">
        <v>84</v>
      </c>
      <c r="O3" s="123"/>
      <c r="P3" s="123"/>
      <c r="Q3" s="123"/>
      <c r="R3" s="123"/>
      <c r="S3" s="123"/>
      <c r="T3" s="119" t="s">
        <v>84</v>
      </c>
      <c r="U3" s="119"/>
      <c r="V3" s="119"/>
      <c r="W3" s="119"/>
      <c r="X3" s="119"/>
      <c r="Y3" s="41"/>
      <c r="Z3" s="41"/>
    </row>
    <row r="4" spans="1:26" ht="27.75" customHeight="1">
      <c r="A4" s="132"/>
      <c r="B4" s="129"/>
      <c r="C4" s="122" t="s">
        <v>46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2" t="s">
        <v>46</v>
      </c>
      <c r="O4" s="123"/>
      <c r="P4" s="123"/>
      <c r="Q4" s="123"/>
      <c r="R4" s="123"/>
      <c r="S4" s="123"/>
      <c r="T4" s="119" t="s">
        <v>46</v>
      </c>
      <c r="U4" s="119"/>
      <c r="V4" s="119"/>
      <c r="W4" s="119"/>
      <c r="X4" s="119"/>
      <c r="Y4" s="41"/>
      <c r="Z4" s="41"/>
    </row>
    <row r="5" spans="1:24" ht="27.75" customHeight="1">
      <c r="A5" s="132"/>
      <c r="B5" s="129"/>
      <c r="C5" s="122" t="s">
        <v>49</v>
      </c>
      <c r="D5" s="123"/>
      <c r="E5" s="124"/>
      <c r="F5" s="119" t="s">
        <v>47</v>
      </c>
      <c r="G5" s="119" t="s">
        <v>93</v>
      </c>
      <c r="H5" s="119" t="s">
        <v>85</v>
      </c>
      <c r="I5" s="119" t="s">
        <v>68</v>
      </c>
      <c r="J5" s="119" t="s">
        <v>67</v>
      </c>
      <c r="K5" s="119" t="s">
        <v>69</v>
      </c>
      <c r="L5" s="119" t="s">
        <v>50</v>
      </c>
      <c r="M5" s="119" t="s">
        <v>51</v>
      </c>
      <c r="N5" s="122" t="s">
        <v>49</v>
      </c>
      <c r="O5" s="123"/>
      <c r="P5" s="124"/>
      <c r="Q5" s="119" t="s">
        <v>47</v>
      </c>
      <c r="R5" s="119" t="s">
        <v>93</v>
      </c>
      <c r="S5" s="119" t="s">
        <v>85</v>
      </c>
      <c r="T5" s="118" t="s">
        <v>68</v>
      </c>
      <c r="U5" s="118" t="s">
        <v>67</v>
      </c>
      <c r="V5" s="118" t="s">
        <v>69</v>
      </c>
      <c r="W5" s="119" t="s">
        <v>50</v>
      </c>
      <c r="X5" s="120" t="s">
        <v>52</v>
      </c>
    </row>
    <row r="6" spans="1:24" ht="192" customHeight="1">
      <c r="A6" s="133"/>
      <c r="B6" s="130"/>
      <c r="C6" s="45" t="s">
        <v>65</v>
      </c>
      <c r="D6" s="46" t="s">
        <v>66</v>
      </c>
      <c r="E6" s="46" t="s">
        <v>64</v>
      </c>
      <c r="F6" s="119"/>
      <c r="G6" s="119"/>
      <c r="H6" s="119"/>
      <c r="I6" s="119"/>
      <c r="J6" s="119"/>
      <c r="K6" s="119"/>
      <c r="L6" s="119"/>
      <c r="M6" s="119"/>
      <c r="N6" s="46" t="s">
        <v>70</v>
      </c>
      <c r="O6" s="46" t="s">
        <v>71</v>
      </c>
      <c r="P6" s="47" t="s">
        <v>72</v>
      </c>
      <c r="Q6" s="119"/>
      <c r="R6" s="119"/>
      <c r="S6" s="119"/>
      <c r="T6" s="119"/>
      <c r="U6" s="119"/>
      <c r="V6" s="119"/>
      <c r="W6" s="119"/>
      <c r="X6" s="121"/>
    </row>
    <row r="7" spans="1:24" s="15" customFormat="1" ht="17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</row>
    <row r="8" spans="1:24" s="24" customFormat="1" ht="15.75">
      <c r="A8" s="29">
        <v>1</v>
      </c>
      <c r="B8" s="22" t="s">
        <v>1</v>
      </c>
      <c r="C8" s="49"/>
      <c r="D8" s="49"/>
      <c r="E8" s="50"/>
      <c r="F8" s="23">
        <v>95.41</v>
      </c>
      <c r="G8" s="28">
        <v>52.9</v>
      </c>
      <c r="H8" s="34">
        <f>ROUND(F8*G8/100*247,0)</f>
        <v>12467</v>
      </c>
      <c r="I8" s="34">
        <f aca="true" t="shared" si="0" ref="I8:I55">H8</f>
        <v>12467</v>
      </c>
      <c r="J8" s="34">
        <v>8889</v>
      </c>
      <c r="K8" s="34">
        <v>11847</v>
      </c>
      <c r="L8" s="34">
        <v>5852</v>
      </c>
      <c r="M8" s="34">
        <f>J8+L8</f>
        <v>14741</v>
      </c>
      <c r="N8" s="51">
        <v>89</v>
      </c>
      <c r="O8" s="51"/>
      <c r="P8" s="51"/>
      <c r="Q8" s="21">
        <v>103.9</v>
      </c>
      <c r="R8" s="28">
        <v>52.9</v>
      </c>
      <c r="S8" s="34">
        <f>ROUND((Q8)*R8/100*247,0)</f>
        <v>13576</v>
      </c>
      <c r="T8" s="33">
        <f aca="true" t="shared" si="1" ref="T8:T55">S8</f>
        <v>13576</v>
      </c>
      <c r="U8" s="33">
        <v>10115</v>
      </c>
      <c r="V8" s="34">
        <f>K8</f>
        <v>11847</v>
      </c>
      <c r="W8" s="33">
        <f>L8</f>
        <v>5852</v>
      </c>
      <c r="X8" s="33">
        <f>U8+W8</f>
        <v>15967</v>
      </c>
    </row>
    <row r="9" spans="1:24" s="24" customFormat="1" ht="15.75">
      <c r="A9" s="29">
        <v>2</v>
      </c>
      <c r="B9" s="22" t="s">
        <v>90</v>
      </c>
      <c r="C9" s="49">
        <v>107</v>
      </c>
      <c r="D9" s="49"/>
      <c r="E9" s="50">
        <v>1</v>
      </c>
      <c r="F9" s="23">
        <v>95.41</v>
      </c>
      <c r="G9" s="28">
        <v>52.9</v>
      </c>
      <c r="H9" s="34">
        <f aca="true" t="shared" si="2" ref="H9:H55">ROUND(F9*G9/100*247,0)</f>
        <v>12467</v>
      </c>
      <c r="I9" s="34">
        <f t="shared" si="0"/>
        <v>12467</v>
      </c>
      <c r="J9" s="34">
        <v>8889</v>
      </c>
      <c r="K9" s="34">
        <v>19773</v>
      </c>
      <c r="L9" s="34">
        <v>5852</v>
      </c>
      <c r="M9" s="34">
        <f aca="true" t="shared" si="3" ref="M9:M14">J9+L9</f>
        <v>14741</v>
      </c>
      <c r="N9" s="51">
        <v>84</v>
      </c>
      <c r="O9" s="51">
        <v>6</v>
      </c>
      <c r="P9" s="51">
        <v>10</v>
      </c>
      <c r="Q9" s="21">
        <v>103.9</v>
      </c>
      <c r="R9" s="28">
        <v>52.9</v>
      </c>
      <c r="S9" s="34">
        <f aca="true" t="shared" si="4" ref="S9:S21">ROUND((Q9)*R9/100*247,0)</f>
        <v>13576</v>
      </c>
      <c r="T9" s="33">
        <f t="shared" si="1"/>
        <v>13576</v>
      </c>
      <c r="U9" s="33">
        <v>10115</v>
      </c>
      <c r="V9" s="34">
        <f aca="true" t="shared" si="5" ref="V9:V55">K9</f>
        <v>19773</v>
      </c>
      <c r="W9" s="33">
        <f aca="true" t="shared" si="6" ref="W9:W55">L9</f>
        <v>5852</v>
      </c>
      <c r="X9" s="33">
        <f aca="true" t="shared" si="7" ref="X9:X55">U9+W9</f>
        <v>15967</v>
      </c>
    </row>
    <row r="10" spans="1:24" s="24" customFormat="1" ht="15.75">
      <c r="A10" s="29">
        <v>3</v>
      </c>
      <c r="B10" s="22" t="s">
        <v>2</v>
      </c>
      <c r="C10" s="52">
        <v>32</v>
      </c>
      <c r="D10" s="52"/>
      <c r="E10" s="53"/>
      <c r="F10" s="23">
        <v>95.41</v>
      </c>
      <c r="G10" s="28">
        <v>52.9</v>
      </c>
      <c r="H10" s="34">
        <f t="shared" si="2"/>
        <v>12467</v>
      </c>
      <c r="I10" s="34">
        <f t="shared" si="0"/>
        <v>12467</v>
      </c>
      <c r="J10" s="34">
        <v>8889</v>
      </c>
      <c r="K10" s="34">
        <v>10691</v>
      </c>
      <c r="L10" s="34">
        <v>5852</v>
      </c>
      <c r="M10" s="34">
        <f t="shared" si="3"/>
        <v>14741</v>
      </c>
      <c r="N10" s="54">
        <v>73</v>
      </c>
      <c r="O10" s="54"/>
      <c r="P10" s="54"/>
      <c r="Q10" s="21">
        <v>103.9</v>
      </c>
      <c r="R10" s="28">
        <v>52.9</v>
      </c>
      <c r="S10" s="34">
        <f t="shared" si="4"/>
        <v>13576</v>
      </c>
      <c r="T10" s="33">
        <f t="shared" si="1"/>
        <v>13576</v>
      </c>
      <c r="U10" s="33">
        <v>10115</v>
      </c>
      <c r="V10" s="34">
        <f t="shared" si="5"/>
        <v>10691</v>
      </c>
      <c r="W10" s="33">
        <f t="shared" si="6"/>
        <v>5852</v>
      </c>
      <c r="X10" s="33">
        <f t="shared" si="7"/>
        <v>15967</v>
      </c>
    </row>
    <row r="11" spans="1:24" s="24" customFormat="1" ht="15.75">
      <c r="A11" s="29">
        <v>4</v>
      </c>
      <c r="B11" s="22" t="s">
        <v>91</v>
      </c>
      <c r="C11" s="52">
        <v>83</v>
      </c>
      <c r="D11" s="52"/>
      <c r="E11" s="53"/>
      <c r="F11" s="23">
        <v>95.41</v>
      </c>
      <c r="G11" s="28">
        <v>52.9</v>
      </c>
      <c r="H11" s="34">
        <f t="shared" si="2"/>
        <v>12467</v>
      </c>
      <c r="I11" s="34">
        <f t="shared" si="0"/>
        <v>12467</v>
      </c>
      <c r="J11" s="34">
        <v>8889</v>
      </c>
      <c r="K11" s="34">
        <v>31068</v>
      </c>
      <c r="L11" s="34">
        <v>5852</v>
      </c>
      <c r="M11" s="34">
        <f t="shared" si="3"/>
        <v>14741</v>
      </c>
      <c r="N11" s="54">
        <v>36</v>
      </c>
      <c r="O11" s="54">
        <v>1</v>
      </c>
      <c r="P11" s="54"/>
      <c r="Q11" s="21">
        <v>103.9</v>
      </c>
      <c r="R11" s="28">
        <v>52.9</v>
      </c>
      <c r="S11" s="34">
        <f t="shared" si="4"/>
        <v>13576</v>
      </c>
      <c r="T11" s="33">
        <f t="shared" si="1"/>
        <v>13576</v>
      </c>
      <c r="U11" s="33">
        <v>10115</v>
      </c>
      <c r="V11" s="34">
        <f t="shared" si="5"/>
        <v>31068</v>
      </c>
      <c r="W11" s="33">
        <f t="shared" si="6"/>
        <v>5852</v>
      </c>
      <c r="X11" s="33">
        <f t="shared" si="7"/>
        <v>15967</v>
      </c>
    </row>
    <row r="12" spans="1:24" s="24" customFormat="1" ht="15.75">
      <c r="A12" s="29">
        <v>5</v>
      </c>
      <c r="B12" s="22" t="s">
        <v>92</v>
      </c>
      <c r="C12" s="52">
        <v>44</v>
      </c>
      <c r="D12" s="52">
        <v>1</v>
      </c>
      <c r="E12" s="53"/>
      <c r="F12" s="23">
        <v>95.41</v>
      </c>
      <c r="G12" s="28">
        <v>52.9</v>
      </c>
      <c r="H12" s="34">
        <f t="shared" si="2"/>
        <v>12467</v>
      </c>
      <c r="I12" s="34">
        <f t="shared" si="0"/>
        <v>12467</v>
      </c>
      <c r="J12" s="34">
        <v>8889</v>
      </c>
      <c r="K12" s="34">
        <v>29239</v>
      </c>
      <c r="L12" s="34">
        <v>5852</v>
      </c>
      <c r="M12" s="34">
        <f t="shared" si="3"/>
        <v>14741</v>
      </c>
      <c r="N12" s="54">
        <v>75</v>
      </c>
      <c r="O12" s="54"/>
      <c r="P12" s="54"/>
      <c r="Q12" s="21">
        <v>103.9</v>
      </c>
      <c r="R12" s="28">
        <v>52.9</v>
      </c>
      <c r="S12" s="34">
        <f t="shared" si="4"/>
        <v>13576</v>
      </c>
      <c r="T12" s="33">
        <f t="shared" si="1"/>
        <v>13576</v>
      </c>
      <c r="U12" s="33">
        <v>10115</v>
      </c>
      <c r="V12" s="34">
        <f t="shared" si="5"/>
        <v>29239</v>
      </c>
      <c r="W12" s="33">
        <f t="shared" si="6"/>
        <v>5852</v>
      </c>
      <c r="X12" s="33">
        <f t="shared" si="7"/>
        <v>15967</v>
      </c>
    </row>
    <row r="13" spans="1:24" s="24" customFormat="1" ht="15.75">
      <c r="A13" s="29">
        <v>6</v>
      </c>
      <c r="B13" s="22" t="s">
        <v>3</v>
      </c>
      <c r="C13" s="52">
        <v>39</v>
      </c>
      <c r="D13" s="52"/>
      <c r="E13" s="53">
        <v>1</v>
      </c>
      <c r="F13" s="23">
        <v>95.41</v>
      </c>
      <c r="G13" s="28">
        <v>52.9</v>
      </c>
      <c r="H13" s="34">
        <f t="shared" si="2"/>
        <v>12467</v>
      </c>
      <c r="I13" s="34">
        <f t="shared" si="0"/>
        <v>12467</v>
      </c>
      <c r="J13" s="34">
        <v>8889</v>
      </c>
      <c r="K13" s="34">
        <v>9282</v>
      </c>
      <c r="L13" s="34">
        <v>5852</v>
      </c>
      <c r="M13" s="34">
        <f t="shared" si="3"/>
        <v>14741</v>
      </c>
      <c r="N13" s="54">
        <v>94</v>
      </c>
      <c r="O13" s="54">
        <v>1</v>
      </c>
      <c r="P13" s="54"/>
      <c r="Q13" s="21">
        <v>103.9</v>
      </c>
      <c r="R13" s="28">
        <v>52.9</v>
      </c>
      <c r="S13" s="34">
        <f t="shared" si="4"/>
        <v>13576</v>
      </c>
      <c r="T13" s="33">
        <f t="shared" si="1"/>
        <v>13576</v>
      </c>
      <c r="U13" s="33">
        <v>10115</v>
      </c>
      <c r="V13" s="34">
        <f t="shared" si="5"/>
        <v>9282</v>
      </c>
      <c r="W13" s="33">
        <f t="shared" si="6"/>
        <v>5852</v>
      </c>
      <c r="X13" s="33">
        <f t="shared" si="7"/>
        <v>15967</v>
      </c>
    </row>
    <row r="14" spans="1:24" s="24" customFormat="1" ht="15.75">
      <c r="A14" s="29">
        <v>7</v>
      </c>
      <c r="B14" s="22" t="s">
        <v>4</v>
      </c>
      <c r="C14" s="52">
        <v>41</v>
      </c>
      <c r="D14" s="55"/>
      <c r="E14" s="53"/>
      <c r="F14" s="23">
        <v>95.41</v>
      </c>
      <c r="G14" s="28">
        <v>52.9</v>
      </c>
      <c r="H14" s="34">
        <f t="shared" si="2"/>
        <v>12467</v>
      </c>
      <c r="I14" s="34">
        <f t="shared" si="0"/>
        <v>12467</v>
      </c>
      <c r="J14" s="34">
        <v>8889</v>
      </c>
      <c r="K14" s="34">
        <v>8018</v>
      </c>
      <c r="L14" s="34">
        <v>5852</v>
      </c>
      <c r="M14" s="34">
        <f t="shared" si="3"/>
        <v>14741</v>
      </c>
      <c r="N14" s="54">
        <v>188</v>
      </c>
      <c r="O14" s="54">
        <v>2</v>
      </c>
      <c r="P14" s="54">
        <v>4</v>
      </c>
      <c r="Q14" s="21">
        <v>103.9</v>
      </c>
      <c r="R14" s="28">
        <v>52.9</v>
      </c>
      <c r="S14" s="34">
        <f t="shared" si="4"/>
        <v>13576</v>
      </c>
      <c r="T14" s="33">
        <f t="shared" si="1"/>
        <v>13576</v>
      </c>
      <c r="U14" s="33">
        <v>10115</v>
      </c>
      <c r="V14" s="34">
        <f t="shared" si="5"/>
        <v>8018</v>
      </c>
      <c r="W14" s="33">
        <f t="shared" si="6"/>
        <v>5852</v>
      </c>
      <c r="X14" s="33">
        <f t="shared" si="7"/>
        <v>15967</v>
      </c>
    </row>
    <row r="15" spans="1:24" s="24" customFormat="1" ht="15.75">
      <c r="A15" s="29">
        <v>8</v>
      </c>
      <c r="B15" s="22" t="s">
        <v>5</v>
      </c>
      <c r="C15" s="52">
        <v>23</v>
      </c>
      <c r="D15" s="52"/>
      <c r="E15" s="53"/>
      <c r="F15" s="23">
        <v>95.41</v>
      </c>
      <c r="G15" s="28">
        <v>52.9</v>
      </c>
      <c r="H15" s="34">
        <f t="shared" si="2"/>
        <v>12467</v>
      </c>
      <c r="I15" s="34">
        <f t="shared" si="0"/>
        <v>12467</v>
      </c>
      <c r="J15" s="34">
        <v>8889</v>
      </c>
      <c r="K15" s="34">
        <v>8670</v>
      </c>
      <c r="L15" s="34">
        <v>5852</v>
      </c>
      <c r="M15" s="34">
        <f aca="true" t="shared" si="8" ref="M15:M55">J15+L15</f>
        <v>14741</v>
      </c>
      <c r="N15" s="54">
        <v>192</v>
      </c>
      <c r="O15" s="54">
        <v>1</v>
      </c>
      <c r="P15" s="54">
        <v>2</v>
      </c>
      <c r="Q15" s="21">
        <v>103.9</v>
      </c>
      <c r="R15" s="28">
        <v>52.9</v>
      </c>
      <c r="S15" s="34">
        <f t="shared" si="4"/>
        <v>13576</v>
      </c>
      <c r="T15" s="33">
        <f t="shared" si="1"/>
        <v>13576</v>
      </c>
      <c r="U15" s="33">
        <v>10115</v>
      </c>
      <c r="V15" s="34">
        <f t="shared" si="5"/>
        <v>8670</v>
      </c>
      <c r="W15" s="33">
        <f t="shared" si="6"/>
        <v>5852</v>
      </c>
      <c r="X15" s="33">
        <f t="shared" si="7"/>
        <v>15967</v>
      </c>
    </row>
    <row r="16" spans="1:24" s="24" customFormat="1" ht="15.75">
      <c r="A16" s="29">
        <v>9</v>
      </c>
      <c r="B16" s="22" t="s">
        <v>6</v>
      </c>
      <c r="C16" s="52"/>
      <c r="D16" s="52"/>
      <c r="E16" s="53"/>
      <c r="F16" s="23">
        <v>95.41</v>
      </c>
      <c r="G16" s="28">
        <v>52.9</v>
      </c>
      <c r="H16" s="34">
        <f t="shared" si="2"/>
        <v>12467</v>
      </c>
      <c r="I16" s="34">
        <f t="shared" si="0"/>
        <v>12467</v>
      </c>
      <c r="J16" s="34">
        <v>8889</v>
      </c>
      <c r="K16" s="34">
        <v>11147</v>
      </c>
      <c r="L16" s="34">
        <v>5852</v>
      </c>
      <c r="M16" s="34">
        <f t="shared" si="8"/>
        <v>14741</v>
      </c>
      <c r="N16" s="54">
        <v>111</v>
      </c>
      <c r="O16" s="54">
        <v>1</v>
      </c>
      <c r="P16" s="54"/>
      <c r="Q16" s="21">
        <v>103.9</v>
      </c>
      <c r="R16" s="28">
        <v>52.9</v>
      </c>
      <c r="S16" s="34">
        <f t="shared" si="4"/>
        <v>13576</v>
      </c>
      <c r="T16" s="33">
        <f t="shared" si="1"/>
        <v>13576</v>
      </c>
      <c r="U16" s="33">
        <v>10115</v>
      </c>
      <c r="V16" s="34">
        <f t="shared" si="5"/>
        <v>11147</v>
      </c>
      <c r="W16" s="33">
        <f t="shared" si="6"/>
        <v>5852</v>
      </c>
      <c r="X16" s="33">
        <f t="shared" si="7"/>
        <v>15967</v>
      </c>
    </row>
    <row r="17" spans="1:24" s="24" customFormat="1" ht="15.75">
      <c r="A17" s="29">
        <v>10</v>
      </c>
      <c r="B17" s="22" t="s">
        <v>7</v>
      </c>
      <c r="C17" s="56">
        <v>26</v>
      </c>
      <c r="D17" s="56"/>
      <c r="E17" s="57"/>
      <c r="F17" s="23">
        <v>95.41</v>
      </c>
      <c r="G17" s="28">
        <v>52.9</v>
      </c>
      <c r="H17" s="34">
        <f t="shared" si="2"/>
        <v>12467</v>
      </c>
      <c r="I17" s="34">
        <f t="shared" si="0"/>
        <v>12467</v>
      </c>
      <c r="J17" s="34">
        <v>8889</v>
      </c>
      <c r="K17" s="34">
        <v>8045</v>
      </c>
      <c r="L17" s="34">
        <v>5852</v>
      </c>
      <c r="M17" s="34">
        <f t="shared" si="8"/>
        <v>14741</v>
      </c>
      <c r="N17" s="54">
        <v>228</v>
      </c>
      <c r="O17" s="54">
        <v>1</v>
      </c>
      <c r="P17" s="54"/>
      <c r="Q17" s="21">
        <v>103.9</v>
      </c>
      <c r="R17" s="28">
        <v>52.9</v>
      </c>
      <c r="S17" s="34">
        <f t="shared" si="4"/>
        <v>13576</v>
      </c>
      <c r="T17" s="33">
        <f t="shared" si="1"/>
        <v>13576</v>
      </c>
      <c r="U17" s="33">
        <v>10115</v>
      </c>
      <c r="V17" s="34">
        <f t="shared" si="5"/>
        <v>8045</v>
      </c>
      <c r="W17" s="33">
        <f t="shared" si="6"/>
        <v>5852</v>
      </c>
      <c r="X17" s="33">
        <f t="shared" si="7"/>
        <v>15967</v>
      </c>
    </row>
    <row r="18" spans="1:24" s="24" customFormat="1" ht="15.75">
      <c r="A18" s="29">
        <v>11</v>
      </c>
      <c r="B18" s="22" t="s">
        <v>8</v>
      </c>
      <c r="C18" s="52">
        <v>40</v>
      </c>
      <c r="D18" s="52"/>
      <c r="E18" s="53"/>
      <c r="F18" s="23">
        <v>95.41</v>
      </c>
      <c r="G18" s="28">
        <v>52.9</v>
      </c>
      <c r="H18" s="34">
        <f t="shared" si="2"/>
        <v>12467</v>
      </c>
      <c r="I18" s="34">
        <f t="shared" si="0"/>
        <v>12467</v>
      </c>
      <c r="J18" s="34">
        <v>8889</v>
      </c>
      <c r="K18" s="34">
        <v>7099</v>
      </c>
      <c r="L18" s="34">
        <v>5852</v>
      </c>
      <c r="M18" s="34">
        <f t="shared" si="8"/>
        <v>14741</v>
      </c>
      <c r="N18" s="54">
        <v>230</v>
      </c>
      <c r="O18" s="54"/>
      <c r="P18" s="54"/>
      <c r="Q18" s="21">
        <v>103.9</v>
      </c>
      <c r="R18" s="28">
        <v>52.9</v>
      </c>
      <c r="S18" s="34">
        <f t="shared" si="4"/>
        <v>13576</v>
      </c>
      <c r="T18" s="33">
        <f t="shared" si="1"/>
        <v>13576</v>
      </c>
      <c r="U18" s="33">
        <v>10115</v>
      </c>
      <c r="V18" s="34">
        <f t="shared" si="5"/>
        <v>7099</v>
      </c>
      <c r="W18" s="33">
        <f t="shared" si="6"/>
        <v>5852</v>
      </c>
      <c r="X18" s="33">
        <f t="shared" si="7"/>
        <v>15967</v>
      </c>
    </row>
    <row r="19" spans="1:24" s="24" customFormat="1" ht="15.75">
      <c r="A19" s="29">
        <v>12</v>
      </c>
      <c r="B19" s="22" t="s">
        <v>9</v>
      </c>
      <c r="C19" s="52">
        <v>21</v>
      </c>
      <c r="D19" s="52"/>
      <c r="E19" s="53"/>
      <c r="F19" s="23">
        <v>95.41</v>
      </c>
      <c r="G19" s="28">
        <v>52.9</v>
      </c>
      <c r="H19" s="34">
        <f t="shared" si="2"/>
        <v>12467</v>
      </c>
      <c r="I19" s="34">
        <f t="shared" si="0"/>
        <v>12467</v>
      </c>
      <c r="J19" s="34">
        <v>8889</v>
      </c>
      <c r="K19" s="34">
        <v>10665</v>
      </c>
      <c r="L19" s="34">
        <v>5852</v>
      </c>
      <c r="M19" s="34">
        <f t="shared" si="8"/>
        <v>14741</v>
      </c>
      <c r="N19" s="54">
        <v>184</v>
      </c>
      <c r="O19" s="54">
        <v>1</v>
      </c>
      <c r="P19" s="54"/>
      <c r="Q19" s="21">
        <v>103.9</v>
      </c>
      <c r="R19" s="28">
        <v>52.9</v>
      </c>
      <c r="S19" s="34">
        <f t="shared" si="4"/>
        <v>13576</v>
      </c>
      <c r="T19" s="33">
        <f t="shared" si="1"/>
        <v>13576</v>
      </c>
      <c r="U19" s="33">
        <v>10115</v>
      </c>
      <c r="V19" s="34">
        <f t="shared" si="5"/>
        <v>10665</v>
      </c>
      <c r="W19" s="33">
        <f t="shared" si="6"/>
        <v>5852</v>
      </c>
      <c r="X19" s="33">
        <f t="shared" si="7"/>
        <v>15967</v>
      </c>
    </row>
    <row r="20" spans="1:24" s="24" customFormat="1" ht="15.75">
      <c r="A20" s="29">
        <v>13</v>
      </c>
      <c r="B20" s="22" t="s">
        <v>10</v>
      </c>
      <c r="C20" s="52">
        <v>39</v>
      </c>
      <c r="D20" s="52"/>
      <c r="E20" s="53"/>
      <c r="F20" s="23">
        <v>95.41</v>
      </c>
      <c r="G20" s="28">
        <v>52.9</v>
      </c>
      <c r="H20" s="34">
        <f t="shared" si="2"/>
        <v>12467</v>
      </c>
      <c r="I20" s="34">
        <f t="shared" si="0"/>
        <v>12467</v>
      </c>
      <c r="J20" s="34">
        <v>8889</v>
      </c>
      <c r="K20" s="34">
        <v>9335</v>
      </c>
      <c r="L20" s="34">
        <v>5852</v>
      </c>
      <c r="M20" s="34">
        <f t="shared" si="8"/>
        <v>14741</v>
      </c>
      <c r="N20" s="54">
        <v>176</v>
      </c>
      <c r="O20" s="54"/>
      <c r="P20" s="54"/>
      <c r="Q20" s="21">
        <v>103.9</v>
      </c>
      <c r="R20" s="28">
        <v>52.9</v>
      </c>
      <c r="S20" s="34">
        <f t="shared" si="4"/>
        <v>13576</v>
      </c>
      <c r="T20" s="33">
        <f t="shared" si="1"/>
        <v>13576</v>
      </c>
      <c r="U20" s="33">
        <v>10115</v>
      </c>
      <c r="V20" s="34">
        <f t="shared" si="5"/>
        <v>9335</v>
      </c>
      <c r="W20" s="33">
        <f t="shared" si="6"/>
        <v>5852</v>
      </c>
      <c r="X20" s="33">
        <f t="shared" si="7"/>
        <v>15967</v>
      </c>
    </row>
    <row r="21" spans="1:24" s="24" customFormat="1" ht="15.75">
      <c r="A21" s="29">
        <v>14</v>
      </c>
      <c r="B21" s="25" t="s">
        <v>11</v>
      </c>
      <c r="C21" s="58">
        <v>24</v>
      </c>
      <c r="D21" s="58"/>
      <c r="E21" s="59"/>
      <c r="F21" s="23">
        <v>95.41</v>
      </c>
      <c r="G21" s="28">
        <v>52.9</v>
      </c>
      <c r="H21" s="34">
        <f t="shared" si="2"/>
        <v>12467</v>
      </c>
      <c r="I21" s="34">
        <f t="shared" si="0"/>
        <v>12467</v>
      </c>
      <c r="J21" s="34">
        <v>8889</v>
      </c>
      <c r="K21" s="34">
        <v>20979</v>
      </c>
      <c r="L21" s="34">
        <v>5852</v>
      </c>
      <c r="M21" s="34">
        <f t="shared" si="8"/>
        <v>14741</v>
      </c>
      <c r="N21" s="60">
        <v>60</v>
      </c>
      <c r="O21" s="60">
        <v>2</v>
      </c>
      <c r="P21" s="60">
        <v>1</v>
      </c>
      <c r="Q21" s="21">
        <v>103.9</v>
      </c>
      <c r="R21" s="28">
        <v>52.9</v>
      </c>
      <c r="S21" s="34">
        <f t="shared" si="4"/>
        <v>13576</v>
      </c>
      <c r="T21" s="33">
        <f t="shared" si="1"/>
        <v>13576</v>
      </c>
      <c r="U21" s="33">
        <v>10115</v>
      </c>
      <c r="V21" s="34">
        <f t="shared" si="5"/>
        <v>20979</v>
      </c>
      <c r="W21" s="33">
        <f t="shared" si="6"/>
        <v>5852</v>
      </c>
      <c r="X21" s="33">
        <f t="shared" si="7"/>
        <v>15967</v>
      </c>
    </row>
    <row r="22" spans="1:24" s="24" customFormat="1" ht="15.75">
      <c r="A22" s="29">
        <v>15</v>
      </c>
      <c r="B22" s="22" t="s">
        <v>25</v>
      </c>
      <c r="C22" s="52"/>
      <c r="D22" s="52"/>
      <c r="E22" s="53"/>
      <c r="F22" s="23">
        <v>68.03</v>
      </c>
      <c r="G22" s="28">
        <v>52.9</v>
      </c>
      <c r="H22" s="34">
        <f t="shared" si="2"/>
        <v>8889</v>
      </c>
      <c r="I22" s="34">
        <f t="shared" si="0"/>
        <v>8889</v>
      </c>
      <c r="J22" s="34">
        <v>8889</v>
      </c>
      <c r="K22" s="34">
        <v>24450</v>
      </c>
      <c r="L22" s="34">
        <v>5852</v>
      </c>
      <c r="M22" s="34">
        <f t="shared" si="8"/>
        <v>14741</v>
      </c>
      <c r="N22" s="54">
        <v>29</v>
      </c>
      <c r="O22" s="54"/>
      <c r="P22" s="54">
        <v>1</v>
      </c>
      <c r="Q22" s="32">
        <v>77.41</v>
      </c>
      <c r="R22" s="28">
        <v>52.9</v>
      </c>
      <c r="S22" s="34">
        <f aca="true" t="shared" si="9" ref="S22:S55">ROUND((Q22)*R22/100*247,0)</f>
        <v>10115</v>
      </c>
      <c r="T22" s="33">
        <f t="shared" si="1"/>
        <v>10115</v>
      </c>
      <c r="U22" s="33">
        <v>10115</v>
      </c>
      <c r="V22" s="34">
        <f t="shared" si="5"/>
        <v>24450</v>
      </c>
      <c r="W22" s="33">
        <f t="shared" si="6"/>
        <v>5852</v>
      </c>
      <c r="X22" s="33">
        <f t="shared" si="7"/>
        <v>15967</v>
      </c>
    </row>
    <row r="23" spans="1:24" s="24" customFormat="1" ht="15.75">
      <c r="A23" s="29">
        <v>16</v>
      </c>
      <c r="B23" s="22" t="s">
        <v>24</v>
      </c>
      <c r="C23" s="56"/>
      <c r="D23" s="56"/>
      <c r="E23" s="57"/>
      <c r="F23" s="23">
        <v>68.03</v>
      </c>
      <c r="G23" s="28">
        <v>52.9</v>
      </c>
      <c r="H23" s="34">
        <f t="shared" si="2"/>
        <v>8889</v>
      </c>
      <c r="I23" s="34">
        <f t="shared" si="0"/>
        <v>8889</v>
      </c>
      <c r="J23" s="34">
        <v>8889</v>
      </c>
      <c r="K23" s="34">
        <v>22010</v>
      </c>
      <c r="L23" s="34">
        <v>5852</v>
      </c>
      <c r="M23" s="34">
        <f t="shared" si="8"/>
        <v>14741</v>
      </c>
      <c r="N23" s="54">
        <v>20</v>
      </c>
      <c r="O23" s="54"/>
      <c r="P23" s="54"/>
      <c r="Q23" s="32">
        <v>77.41</v>
      </c>
      <c r="R23" s="28">
        <v>52.9</v>
      </c>
      <c r="S23" s="34">
        <f t="shared" si="9"/>
        <v>10115</v>
      </c>
      <c r="T23" s="33">
        <f t="shared" si="1"/>
        <v>10115</v>
      </c>
      <c r="U23" s="33">
        <v>10115</v>
      </c>
      <c r="V23" s="34">
        <f t="shared" si="5"/>
        <v>22010</v>
      </c>
      <c r="W23" s="33">
        <f t="shared" si="6"/>
        <v>5852</v>
      </c>
      <c r="X23" s="33">
        <f t="shared" si="7"/>
        <v>15967</v>
      </c>
    </row>
    <row r="24" spans="1:24" s="24" customFormat="1" ht="15.75">
      <c r="A24" s="29">
        <v>17</v>
      </c>
      <c r="B24" s="22" t="s">
        <v>12</v>
      </c>
      <c r="C24" s="52"/>
      <c r="D24" s="52"/>
      <c r="E24" s="53"/>
      <c r="F24" s="23">
        <v>68.03</v>
      </c>
      <c r="G24" s="28">
        <v>52.9</v>
      </c>
      <c r="H24" s="34">
        <f t="shared" si="2"/>
        <v>8889</v>
      </c>
      <c r="I24" s="34">
        <f t="shared" si="0"/>
        <v>8889</v>
      </c>
      <c r="J24" s="34">
        <v>8889</v>
      </c>
      <c r="K24" s="34">
        <v>12535</v>
      </c>
      <c r="L24" s="34">
        <v>5852</v>
      </c>
      <c r="M24" s="34">
        <f t="shared" si="8"/>
        <v>14741</v>
      </c>
      <c r="N24" s="54">
        <v>73</v>
      </c>
      <c r="O24" s="54">
        <v>2</v>
      </c>
      <c r="P24" s="54"/>
      <c r="Q24" s="32">
        <v>77.41</v>
      </c>
      <c r="R24" s="28">
        <v>52.9</v>
      </c>
      <c r="S24" s="34">
        <f t="shared" si="9"/>
        <v>10115</v>
      </c>
      <c r="T24" s="33">
        <f t="shared" si="1"/>
        <v>10115</v>
      </c>
      <c r="U24" s="33">
        <v>10115</v>
      </c>
      <c r="V24" s="34">
        <f t="shared" si="5"/>
        <v>12535</v>
      </c>
      <c r="W24" s="33">
        <f t="shared" si="6"/>
        <v>5852</v>
      </c>
      <c r="X24" s="33">
        <f t="shared" si="7"/>
        <v>15967</v>
      </c>
    </row>
    <row r="25" spans="1:24" s="24" customFormat="1" ht="15.75">
      <c r="A25" s="29">
        <v>18</v>
      </c>
      <c r="B25" s="22" t="s">
        <v>13</v>
      </c>
      <c r="C25" s="52"/>
      <c r="D25" s="52"/>
      <c r="E25" s="53"/>
      <c r="F25" s="23">
        <v>68.03</v>
      </c>
      <c r="G25" s="28">
        <v>52.9</v>
      </c>
      <c r="H25" s="34">
        <f t="shared" si="2"/>
        <v>8889</v>
      </c>
      <c r="I25" s="34">
        <f t="shared" si="0"/>
        <v>8889</v>
      </c>
      <c r="J25" s="34">
        <v>8889</v>
      </c>
      <c r="K25" s="34">
        <v>19505</v>
      </c>
      <c r="L25" s="34">
        <v>5852</v>
      </c>
      <c r="M25" s="34">
        <f t="shared" si="8"/>
        <v>14741</v>
      </c>
      <c r="N25" s="54">
        <v>41</v>
      </c>
      <c r="O25" s="54"/>
      <c r="P25" s="54"/>
      <c r="Q25" s="32">
        <v>77.41</v>
      </c>
      <c r="R25" s="28">
        <v>52.9</v>
      </c>
      <c r="S25" s="34">
        <f t="shared" si="9"/>
        <v>10115</v>
      </c>
      <c r="T25" s="33">
        <f t="shared" si="1"/>
        <v>10115</v>
      </c>
      <c r="U25" s="33">
        <v>10115</v>
      </c>
      <c r="V25" s="34">
        <f t="shared" si="5"/>
        <v>19505</v>
      </c>
      <c r="W25" s="33">
        <f t="shared" si="6"/>
        <v>5852</v>
      </c>
      <c r="X25" s="33">
        <f t="shared" si="7"/>
        <v>15967</v>
      </c>
    </row>
    <row r="26" spans="1:24" s="24" customFormat="1" ht="15.75">
      <c r="A26" s="29">
        <v>19</v>
      </c>
      <c r="B26" s="22" t="s">
        <v>14</v>
      </c>
      <c r="C26" s="52"/>
      <c r="D26" s="52"/>
      <c r="E26" s="53"/>
      <c r="F26" s="23">
        <v>68.03</v>
      </c>
      <c r="G26" s="28">
        <v>52.9</v>
      </c>
      <c r="H26" s="34">
        <f t="shared" si="2"/>
        <v>8889</v>
      </c>
      <c r="I26" s="34">
        <f t="shared" si="0"/>
        <v>8889</v>
      </c>
      <c r="J26" s="34">
        <v>8889</v>
      </c>
      <c r="K26" s="34">
        <v>19768</v>
      </c>
      <c r="L26" s="34">
        <v>5852</v>
      </c>
      <c r="M26" s="34">
        <f t="shared" si="8"/>
        <v>14741</v>
      </c>
      <c r="N26" s="54">
        <v>40</v>
      </c>
      <c r="O26" s="54"/>
      <c r="P26" s="54"/>
      <c r="Q26" s="32">
        <v>77.41</v>
      </c>
      <c r="R26" s="28">
        <v>52.9</v>
      </c>
      <c r="S26" s="34">
        <f t="shared" si="9"/>
        <v>10115</v>
      </c>
      <c r="T26" s="33">
        <f t="shared" si="1"/>
        <v>10115</v>
      </c>
      <c r="U26" s="33">
        <v>10115</v>
      </c>
      <c r="V26" s="34">
        <f t="shared" si="5"/>
        <v>19768</v>
      </c>
      <c r="W26" s="33">
        <f t="shared" si="6"/>
        <v>5852</v>
      </c>
      <c r="X26" s="33">
        <f t="shared" si="7"/>
        <v>15967</v>
      </c>
    </row>
    <row r="27" spans="1:24" s="26" customFormat="1" ht="16.5" customHeight="1">
      <c r="A27" s="29">
        <v>20</v>
      </c>
      <c r="B27" s="25" t="s">
        <v>15</v>
      </c>
      <c r="C27" s="61"/>
      <c r="D27" s="61"/>
      <c r="E27" s="62"/>
      <c r="F27" s="23">
        <v>68.03</v>
      </c>
      <c r="G27" s="28">
        <v>52.9</v>
      </c>
      <c r="H27" s="34">
        <f t="shared" si="2"/>
        <v>8889</v>
      </c>
      <c r="I27" s="34">
        <f t="shared" si="0"/>
        <v>8889</v>
      </c>
      <c r="J27" s="34">
        <v>8889</v>
      </c>
      <c r="K27" s="34">
        <v>13323</v>
      </c>
      <c r="L27" s="34">
        <v>5852</v>
      </c>
      <c r="M27" s="34">
        <f t="shared" si="8"/>
        <v>14741</v>
      </c>
      <c r="N27" s="54">
        <v>56</v>
      </c>
      <c r="O27" s="54"/>
      <c r="P27" s="54">
        <v>1</v>
      </c>
      <c r="Q27" s="32">
        <v>77.41</v>
      </c>
      <c r="R27" s="28">
        <v>52.9</v>
      </c>
      <c r="S27" s="34">
        <f t="shared" si="9"/>
        <v>10115</v>
      </c>
      <c r="T27" s="33">
        <f t="shared" si="1"/>
        <v>10115</v>
      </c>
      <c r="U27" s="33">
        <v>10115</v>
      </c>
      <c r="V27" s="34">
        <f t="shared" si="5"/>
        <v>13323</v>
      </c>
      <c r="W27" s="33">
        <f t="shared" si="6"/>
        <v>5852</v>
      </c>
      <c r="X27" s="33">
        <f t="shared" si="7"/>
        <v>15967</v>
      </c>
    </row>
    <row r="28" spans="1:24" s="24" customFormat="1" ht="19.5" customHeight="1">
      <c r="A28" s="29">
        <v>21</v>
      </c>
      <c r="B28" s="22" t="s">
        <v>26</v>
      </c>
      <c r="C28" s="63"/>
      <c r="D28" s="63"/>
      <c r="E28" s="64"/>
      <c r="F28" s="23">
        <v>68.03</v>
      </c>
      <c r="G28" s="28">
        <v>52.9</v>
      </c>
      <c r="H28" s="34">
        <f t="shared" si="2"/>
        <v>8889</v>
      </c>
      <c r="I28" s="34">
        <f t="shared" si="0"/>
        <v>8889</v>
      </c>
      <c r="J28" s="34">
        <v>8889</v>
      </c>
      <c r="K28" s="34">
        <v>36822</v>
      </c>
      <c r="L28" s="34">
        <v>5852</v>
      </c>
      <c r="M28" s="34">
        <f t="shared" si="8"/>
        <v>14741</v>
      </c>
      <c r="N28" s="54">
        <v>18</v>
      </c>
      <c r="O28" s="54"/>
      <c r="P28" s="54"/>
      <c r="Q28" s="32">
        <v>77.41</v>
      </c>
      <c r="R28" s="28">
        <v>52.9</v>
      </c>
      <c r="S28" s="34">
        <f t="shared" si="9"/>
        <v>10115</v>
      </c>
      <c r="T28" s="33">
        <f t="shared" si="1"/>
        <v>10115</v>
      </c>
      <c r="U28" s="33">
        <v>10115</v>
      </c>
      <c r="V28" s="34">
        <f t="shared" si="5"/>
        <v>36822</v>
      </c>
      <c r="W28" s="33">
        <f t="shared" si="6"/>
        <v>5852</v>
      </c>
      <c r="X28" s="33">
        <f t="shared" si="7"/>
        <v>15967</v>
      </c>
    </row>
    <row r="29" spans="1:24" s="24" customFormat="1" ht="19.5" customHeight="1">
      <c r="A29" s="29">
        <v>22</v>
      </c>
      <c r="B29" s="22" t="s">
        <v>27</v>
      </c>
      <c r="C29" s="63"/>
      <c r="D29" s="63"/>
      <c r="E29" s="64"/>
      <c r="F29" s="23">
        <v>68.03</v>
      </c>
      <c r="G29" s="28">
        <v>52.9</v>
      </c>
      <c r="H29" s="34">
        <f t="shared" si="2"/>
        <v>8889</v>
      </c>
      <c r="I29" s="34">
        <f t="shared" si="0"/>
        <v>8889</v>
      </c>
      <c r="J29" s="34">
        <v>8889</v>
      </c>
      <c r="K29" s="34">
        <v>76089</v>
      </c>
      <c r="L29" s="34">
        <v>5852</v>
      </c>
      <c r="M29" s="34">
        <f t="shared" si="8"/>
        <v>14741</v>
      </c>
      <c r="N29" s="54">
        <v>9</v>
      </c>
      <c r="O29" s="54"/>
      <c r="P29" s="54"/>
      <c r="Q29" s="32">
        <v>77.41</v>
      </c>
      <c r="R29" s="28">
        <v>52.9</v>
      </c>
      <c r="S29" s="34">
        <f t="shared" si="9"/>
        <v>10115</v>
      </c>
      <c r="T29" s="33">
        <f t="shared" si="1"/>
        <v>10115</v>
      </c>
      <c r="U29" s="33">
        <v>10115</v>
      </c>
      <c r="V29" s="34">
        <f t="shared" si="5"/>
        <v>76089</v>
      </c>
      <c r="W29" s="33">
        <f t="shared" si="6"/>
        <v>5852</v>
      </c>
      <c r="X29" s="33">
        <f t="shared" si="7"/>
        <v>15967</v>
      </c>
    </row>
    <row r="30" spans="1:24" s="24" customFormat="1" ht="18" customHeight="1">
      <c r="A30" s="29">
        <v>23</v>
      </c>
      <c r="B30" s="22" t="s">
        <v>28</v>
      </c>
      <c r="C30" s="63"/>
      <c r="D30" s="63"/>
      <c r="E30" s="64"/>
      <c r="F30" s="23">
        <v>68.03</v>
      </c>
      <c r="G30" s="28">
        <v>52.9</v>
      </c>
      <c r="H30" s="34">
        <f t="shared" si="2"/>
        <v>8889</v>
      </c>
      <c r="I30" s="34">
        <f t="shared" si="0"/>
        <v>8889</v>
      </c>
      <c r="J30" s="34">
        <v>8889</v>
      </c>
      <c r="K30" s="34">
        <v>56425</v>
      </c>
      <c r="L30" s="34">
        <v>5852</v>
      </c>
      <c r="M30" s="34">
        <f t="shared" si="8"/>
        <v>14741</v>
      </c>
      <c r="N30" s="54">
        <v>12</v>
      </c>
      <c r="O30" s="54"/>
      <c r="P30" s="54"/>
      <c r="Q30" s="32">
        <v>77.41</v>
      </c>
      <c r="R30" s="28">
        <v>52.9</v>
      </c>
      <c r="S30" s="34">
        <f t="shared" si="9"/>
        <v>10115</v>
      </c>
      <c r="T30" s="33">
        <f t="shared" si="1"/>
        <v>10115</v>
      </c>
      <c r="U30" s="33">
        <v>10115</v>
      </c>
      <c r="V30" s="34">
        <f t="shared" si="5"/>
        <v>56425</v>
      </c>
      <c r="W30" s="33">
        <f t="shared" si="6"/>
        <v>5852</v>
      </c>
      <c r="X30" s="33">
        <f t="shared" si="7"/>
        <v>15967</v>
      </c>
    </row>
    <row r="31" spans="1:24" s="24" customFormat="1" ht="18.75" customHeight="1">
      <c r="A31" s="29">
        <v>24</v>
      </c>
      <c r="B31" s="22" t="s">
        <v>29</v>
      </c>
      <c r="C31" s="63"/>
      <c r="D31" s="63"/>
      <c r="E31" s="64"/>
      <c r="F31" s="23">
        <v>68.03</v>
      </c>
      <c r="G31" s="28">
        <v>52.9</v>
      </c>
      <c r="H31" s="34">
        <f t="shared" si="2"/>
        <v>8889</v>
      </c>
      <c r="I31" s="34">
        <f t="shared" si="0"/>
        <v>8889</v>
      </c>
      <c r="J31" s="34">
        <v>8889</v>
      </c>
      <c r="K31" s="34">
        <v>21231</v>
      </c>
      <c r="L31" s="34">
        <v>5852</v>
      </c>
      <c r="M31" s="34">
        <f t="shared" si="8"/>
        <v>14741</v>
      </c>
      <c r="N31" s="54">
        <v>31</v>
      </c>
      <c r="O31" s="54"/>
      <c r="P31" s="54">
        <v>1</v>
      </c>
      <c r="Q31" s="32">
        <v>77.41</v>
      </c>
      <c r="R31" s="28">
        <v>52.9</v>
      </c>
      <c r="S31" s="34">
        <f t="shared" si="9"/>
        <v>10115</v>
      </c>
      <c r="T31" s="33">
        <f t="shared" si="1"/>
        <v>10115</v>
      </c>
      <c r="U31" s="33">
        <v>10115</v>
      </c>
      <c r="V31" s="34">
        <f t="shared" si="5"/>
        <v>21231</v>
      </c>
      <c r="W31" s="33">
        <f t="shared" si="6"/>
        <v>5852</v>
      </c>
      <c r="X31" s="33">
        <f t="shared" si="7"/>
        <v>15967</v>
      </c>
    </row>
    <row r="32" spans="1:24" s="24" customFormat="1" ht="20.25" customHeight="1">
      <c r="A32" s="29">
        <v>25</v>
      </c>
      <c r="B32" s="22" t="s">
        <v>16</v>
      </c>
      <c r="C32" s="49"/>
      <c r="D32" s="49"/>
      <c r="E32" s="50"/>
      <c r="F32" s="23">
        <v>68.03</v>
      </c>
      <c r="G32" s="28">
        <v>52.9</v>
      </c>
      <c r="H32" s="34">
        <f t="shared" si="2"/>
        <v>8889</v>
      </c>
      <c r="I32" s="34">
        <f t="shared" si="0"/>
        <v>8889</v>
      </c>
      <c r="J32" s="34">
        <v>8889</v>
      </c>
      <c r="K32" s="34">
        <v>9859</v>
      </c>
      <c r="L32" s="34">
        <v>5852</v>
      </c>
      <c r="M32" s="34">
        <f t="shared" si="8"/>
        <v>14741</v>
      </c>
      <c r="N32" s="51">
        <v>103</v>
      </c>
      <c r="O32" s="51">
        <v>1</v>
      </c>
      <c r="P32" s="51">
        <v>1</v>
      </c>
      <c r="Q32" s="32">
        <v>77.41</v>
      </c>
      <c r="R32" s="28">
        <v>52.9</v>
      </c>
      <c r="S32" s="34">
        <f t="shared" si="9"/>
        <v>10115</v>
      </c>
      <c r="T32" s="33">
        <f t="shared" si="1"/>
        <v>10115</v>
      </c>
      <c r="U32" s="33">
        <v>10115</v>
      </c>
      <c r="V32" s="34">
        <f t="shared" si="5"/>
        <v>9859</v>
      </c>
      <c r="W32" s="33">
        <f t="shared" si="6"/>
        <v>5852</v>
      </c>
      <c r="X32" s="33">
        <f t="shared" si="7"/>
        <v>15967</v>
      </c>
    </row>
    <row r="33" spans="1:24" s="24" customFormat="1" ht="15.75">
      <c r="A33" s="29">
        <v>26</v>
      </c>
      <c r="B33" s="22" t="s">
        <v>17</v>
      </c>
      <c r="C33" s="52"/>
      <c r="D33" s="52"/>
      <c r="E33" s="53"/>
      <c r="F33" s="23">
        <v>68.03</v>
      </c>
      <c r="G33" s="28">
        <v>52.9</v>
      </c>
      <c r="H33" s="34">
        <f t="shared" si="2"/>
        <v>8889</v>
      </c>
      <c r="I33" s="34">
        <f t="shared" si="0"/>
        <v>8889</v>
      </c>
      <c r="J33" s="34">
        <v>8889</v>
      </c>
      <c r="K33" s="34">
        <v>9695</v>
      </c>
      <c r="L33" s="34">
        <v>5852</v>
      </c>
      <c r="M33" s="34">
        <f t="shared" si="8"/>
        <v>14741</v>
      </c>
      <c r="N33" s="54">
        <v>104</v>
      </c>
      <c r="O33" s="54">
        <v>1</v>
      </c>
      <c r="P33" s="54"/>
      <c r="Q33" s="32">
        <v>77.41</v>
      </c>
      <c r="R33" s="28">
        <v>52.9</v>
      </c>
      <c r="S33" s="34">
        <f t="shared" si="9"/>
        <v>10115</v>
      </c>
      <c r="T33" s="33">
        <f t="shared" si="1"/>
        <v>10115</v>
      </c>
      <c r="U33" s="33">
        <v>10115</v>
      </c>
      <c r="V33" s="34">
        <f t="shared" si="5"/>
        <v>9695</v>
      </c>
      <c r="W33" s="33">
        <f t="shared" si="6"/>
        <v>5852</v>
      </c>
      <c r="X33" s="33">
        <f t="shared" si="7"/>
        <v>15967</v>
      </c>
    </row>
    <row r="34" spans="1:24" s="26" customFormat="1" ht="18" customHeight="1">
      <c r="A34" s="29">
        <v>27</v>
      </c>
      <c r="B34" s="25" t="s">
        <v>18</v>
      </c>
      <c r="C34" s="63">
        <v>22</v>
      </c>
      <c r="D34" s="52"/>
      <c r="E34" s="53"/>
      <c r="F34" s="23">
        <v>68.03</v>
      </c>
      <c r="G34" s="28">
        <v>52.9</v>
      </c>
      <c r="H34" s="34">
        <f t="shared" si="2"/>
        <v>8889</v>
      </c>
      <c r="I34" s="34">
        <f t="shared" si="0"/>
        <v>8889</v>
      </c>
      <c r="J34" s="34">
        <v>8889</v>
      </c>
      <c r="K34" s="34">
        <v>9623</v>
      </c>
      <c r="L34" s="34">
        <v>5852</v>
      </c>
      <c r="M34" s="34">
        <f t="shared" si="8"/>
        <v>14741</v>
      </c>
      <c r="N34" s="54">
        <v>96</v>
      </c>
      <c r="O34" s="54">
        <v>1</v>
      </c>
      <c r="P34" s="54"/>
      <c r="Q34" s="32">
        <v>77.41</v>
      </c>
      <c r="R34" s="28">
        <v>52.9</v>
      </c>
      <c r="S34" s="34">
        <f t="shared" si="9"/>
        <v>10115</v>
      </c>
      <c r="T34" s="33">
        <f t="shared" si="1"/>
        <v>10115</v>
      </c>
      <c r="U34" s="33">
        <v>10115</v>
      </c>
      <c r="V34" s="34">
        <f t="shared" si="5"/>
        <v>9623</v>
      </c>
      <c r="W34" s="33">
        <f t="shared" si="6"/>
        <v>5852</v>
      </c>
      <c r="X34" s="33">
        <f t="shared" si="7"/>
        <v>15967</v>
      </c>
    </row>
    <row r="35" spans="1:24" s="24" customFormat="1" ht="15.75">
      <c r="A35" s="29">
        <v>28</v>
      </c>
      <c r="B35" s="22" t="s">
        <v>19</v>
      </c>
      <c r="C35" s="52">
        <v>19</v>
      </c>
      <c r="D35" s="52"/>
      <c r="E35" s="53"/>
      <c r="F35" s="23">
        <v>68.03</v>
      </c>
      <c r="G35" s="28">
        <v>52.9</v>
      </c>
      <c r="H35" s="34">
        <f t="shared" si="2"/>
        <v>8889</v>
      </c>
      <c r="I35" s="34">
        <f t="shared" si="0"/>
        <v>8889</v>
      </c>
      <c r="J35" s="34">
        <v>8889</v>
      </c>
      <c r="K35" s="34">
        <v>7541</v>
      </c>
      <c r="L35" s="34">
        <v>5852</v>
      </c>
      <c r="M35" s="34">
        <f t="shared" si="8"/>
        <v>14741</v>
      </c>
      <c r="N35" s="54">
        <v>120</v>
      </c>
      <c r="O35" s="54">
        <v>1</v>
      </c>
      <c r="P35" s="54"/>
      <c r="Q35" s="32">
        <v>77.41</v>
      </c>
      <c r="R35" s="28">
        <v>52.9</v>
      </c>
      <c r="S35" s="34">
        <f t="shared" si="9"/>
        <v>10115</v>
      </c>
      <c r="T35" s="33">
        <f t="shared" si="1"/>
        <v>10115</v>
      </c>
      <c r="U35" s="33">
        <v>10115</v>
      </c>
      <c r="V35" s="34">
        <f t="shared" si="5"/>
        <v>7541</v>
      </c>
      <c r="W35" s="33">
        <f t="shared" si="6"/>
        <v>5852</v>
      </c>
      <c r="X35" s="33">
        <f t="shared" si="7"/>
        <v>15967</v>
      </c>
    </row>
    <row r="36" spans="1:24" s="24" customFormat="1" ht="15.75">
      <c r="A36" s="29">
        <v>29</v>
      </c>
      <c r="B36" s="22" t="s">
        <v>20</v>
      </c>
      <c r="C36" s="65">
        <v>20</v>
      </c>
      <c r="D36" s="65"/>
      <c r="E36" s="66"/>
      <c r="F36" s="23">
        <v>68.03</v>
      </c>
      <c r="G36" s="28">
        <v>52.9</v>
      </c>
      <c r="H36" s="34">
        <f t="shared" si="2"/>
        <v>8889</v>
      </c>
      <c r="I36" s="34">
        <f t="shared" si="0"/>
        <v>8889</v>
      </c>
      <c r="J36" s="34">
        <v>8889</v>
      </c>
      <c r="K36" s="34">
        <v>9720</v>
      </c>
      <c r="L36" s="34">
        <v>5852</v>
      </c>
      <c r="M36" s="34">
        <f t="shared" si="8"/>
        <v>14741</v>
      </c>
      <c r="N36" s="67">
        <v>104</v>
      </c>
      <c r="O36" s="67">
        <v>4</v>
      </c>
      <c r="P36" s="67"/>
      <c r="Q36" s="32">
        <v>77.41</v>
      </c>
      <c r="R36" s="28">
        <v>52.9</v>
      </c>
      <c r="S36" s="34">
        <f t="shared" si="9"/>
        <v>10115</v>
      </c>
      <c r="T36" s="33">
        <f t="shared" si="1"/>
        <v>10115</v>
      </c>
      <c r="U36" s="33">
        <v>10115</v>
      </c>
      <c r="V36" s="34">
        <f t="shared" si="5"/>
        <v>9720</v>
      </c>
      <c r="W36" s="33">
        <f t="shared" si="6"/>
        <v>5852</v>
      </c>
      <c r="X36" s="33">
        <f t="shared" si="7"/>
        <v>15967</v>
      </c>
    </row>
    <row r="37" spans="1:24" s="24" customFormat="1" ht="15.75">
      <c r="A37" s="29">
        <v>30</v>
      </c>
      <c r="B37" s="22" t="s">
        <v>30</v>
      </c>
      <c r="C37" s="52"/>
      <c r="D37" s="52"/>
      <c r="E37" s="53"/>
      <c r="F37" s="23">
        <v>68.03</v>
      </c>
      <c r="G37" s="28">
        <v>52.9</v>
      </c>
      <c r="H37" s="34">
        <f t="shared" si="2"/>
        <v>8889</v>
      </c>
      <c r="I37" s="34">
        <f t="shared" si="0"/>
        <v>8889</v>
      </c>
      <c r="J37" s="34">
        <v>8889</v>
      </c>
      <c r="K37" s="34">
        <v>38472</v>
      </c>
      <c r="L37" s="34">
        <v>5852</v>
      </c>
      <c r="M37" s="34">
        <f t="shared" si="8"/>
        <v>14741</v>
      </c>
      <c r="N37" s="54">
        <v>18</v>
      </c>
      <c r="O37" s="54"/>
      <c r="P37" s="54"/>
      <c r="Q37" s="32">
        <v>77.41</v>
      </c>
      <c r="R37" s="28">
        <v>52.9</v>
      </c>
      <c r="S37" s="34">
        <f t="shared" si="9"/>
        <v>10115</v>
      </c>
      <c r="T37" s="33">
        <f t="shared" si="1"/>
        <v>10115</v>
      </c>
      <c r="U37" s="33">
        <v>10115</v>
      </c>
      <c r="V37" s="34">
        <f t="shared" si="5"/>
        <v>38472</v>
      </c>
      <c r="W37" s="33">
        <f t="shared" si="6"/>
        <v>5852</v>
      </c>
      <c r="X37" s="33">
        <f t="shared" si="7"/>
        <v>15967</v>
      </c>
    </row>
    <row r="38" spans="1:24" s="24" customFormat="1" ht="15.75">
      <c r="A38" s="29">
        <v>31</v>
      </c>
      <c r="B38" s="22" t="s">
        <v>31</v>
      </c>
      <c r="C38" s="52"/>
      <c r="D38" s="52"/>
      <c r="E38" s="53"/>
      <c r="F38" s="23">
        <v>68.03</v>
      </c>
      <c r="G38" s="28">
        <v>52.9</v>
      </c>
      <c r="H38" s="34">
        <f t="shared" si="2"/>
        <v>8889</v>
      </c>
      <c r="I38" s="34">
        <f t="shared" si="0"/>
        <v>8889</v>
      </c>
      <c r="J38" s="34">
        <v>8889</v>
      </c>
      <c r="K38" s="34">
        <v>26045</v>
      </c>
      <c r="L38" s="34">
        <v>5852</v>
      </c>
      <c r="M38" s="34">
        <f t="shared" si="8"/>
        <v>14741</v>
      </c>
      <c r="N38" s="54">
        <v>20</v>
      </c>
      <c r="O38" s="54"/>
      <c r="P38" s="54"/>
      <c r="Q38" s="32">
        <v>77.41</v>
      </c>
      <c r="R38" s="28">
        <v>52.9</v>
      </c>
      <c r="S38" s="34">
        <f t="shared" si="9"/>
        <v>10115</v>
      </c>
      <c r="T38" s="33">
        <f t="shared" si="1"/>
        <v>10115</v>
      </c>
      <c r="U38" s="33">
        <v>10115</v>
      </c>
      <c r="V38" s="34">
        <f t="shared" si="5"/>
        <v>26045</v>
      </c>
      <c r="W38" s="33">
        <f t="shared" si="6"/>
        <v>5852</v>
      </c>
      <c r="X38" s="33">
        <f t="shared" si="7"/>
        <v>15967</v>
      </c>
    </row>
    <row r="39" spans="1:24" s="24" customFormat="1" ht="15.75">
      <c r="A39" s="29">
        <v>32</v>
      </c>
      <c r="B39" s="22" t="s">
        <v>21</v>
      </c>
      <c r="C39" s="52"/>
      <c r="D39" s="52"/>
      <c r="E39" s="53"/>
      <c r="F39" s="23">
        <v>68.03</v>
      </c>
      <c r="G39" s="28">
        <v>52.9</v>
      </c>
      <c r="H39" s="34">
        <f t="shared" si="2"/>
        <v>8889</v>
      </c>
      <c r="I39" s="34">
        <f t="shared" si="0"/>
        <v>8889</v>
      </c>
      <c r="J39" s="34">
        <v>8889</v>
      </c>
      <c r="K39" s="34">
        <v>10756</v>
      </c>
      <c r="L39" s="34">
        <v>5852</v>
      </c>
      <c r="M39" s="34">
        <f t="shared" si="8"/>
        <v>14741</v>
      </c>
      <c r="N39" s="54">
        <v>55</v>
      </c>
      <c r="O39" s="54"/>
      <c r="P39" s="54"/>
      <c r="Q39" s="32">
        <v>77.41</v>
      </c>
      <c r="R39" s="28">
        <v>52.9</v>
      </c>
      <c r="S39" s="34">
        <f t="shared" si="9"/>
        <v>10115</v>
      </c>
      <c r="T39" s="33">
        <f t="shared" si="1"/>
        <v>10115</v>
      </c>
      <c r="U39" s="33">
        <v>10115</v>
      </c>
      <c r="V39" s="34">
        <f t="shared" si="5"/>
        <v>10756</v>
      </c>
      <c r="W39" s="33">
        <f t="shared" si="6"/>
        <v>5852</v>
      </c>
      <c r="X39" s="33">
        <f t="shared" si="7"/>
        <v>15967</v>
      </c>
    </row>
    <row r="40" spans="1:24" s="24" customFormat="1" ht="15.75">
      <c r="A40" s="29">
        <v>33</v>
      </c>
      <c r="B40" s="22" t="s">
        <v>32</v>
      </c>
      <c r="C40" s="56"/>
      <c r="D40" s="56"/>
      <c r="E40" s="57"/>
      <c r="F40" s="23">
        <v>68.03</v>
      </c>
      <c r="G40" s="28">
        <v>52.9</v>
      </c>
      <c r="H40" s="34">
        <f t="shared" si="2"/>
        <v>8889</v>
      </c>
      <c r="I40" s="34">
        <f t="shared" si="0"/>
        <v>8889</v>
      </c>
      <c r="J40" s="34">
        <v>8889</v>
      </c>
      <c r="K40" s="34">
        <v>56217</v>
      </c>
      <c r="L40" s="34">
        <v>5852</v>
      </c>
      <c r="M40" s="34">
        <f t="shared" si="8"/>
        <v>14741</v>
      </c>
      <c r="N40" s="54">
        <v>12</v>
      </c>
      <c r="O40" s="54"/>
      <c r="P40" s="54"/>
      <c r="Q40" s="32">
        <v>77.41</v>
      </c>
      <c r="R40" s="28">
        <v>52.9</v>
      </c>
      <c r="S40" s="34">
        <f t="shared" si="9"/>
        <v>10115</v>
      </c>
      <c r="T40" s="33">
        <f t="shared" si="1"/>
        <v>10115</v>
      </c>
      <c r="U40" s="33">
        <v>10115</v>
      </c>
      <c r="V40" s="34">
        <f t="shared" si="5"/>
        <v>56217</v>
      </c>
      <c r="W40" s="33">
        <f t="shared" si="6"/>
        <v>5852</v>
      </c>
      <c r="X40" s="33">
        <f t="shared" si="7"/>
        <v>15967</v>
      </c>
    </row>
    <row r="41" spans="1:24" s="24" customFormat="1" ht="17.25" customHeight="1">
      <c r="A41" s="29">
        <v>34</v>
      </c>
      <c r="B41" s="22" t="s">
        <v>33</v>
      </c>
      <c r="C41" s="56"/>
      <c r="D41" s="56"/>
      <c r="E41" s="57"/>
      <c r="F41" s="23">
        <v>68.03</v>
      </c>
      <c r="G41" s="28">
        <v>52.9</v>
      </c>
      <c r="H41" s="34">
        <f t="shared" si="2"/>
        <v>8889</v>
      </c>
      <c r="I41" s="34">
        <f t="shared" si="0"/>
        <v>8889</v>
      </c>
      <c r="J41" s="34">
        <v>8889</v>
      </c>
      <c r="K41" s="34">
        <v>26013</v>
      </c>
      <c r="L41" s="34">
        <v>5852</v>
      </c>
      <c r="M41" s="34">
        <f t="shared" si="8"/>
        <v>14741</v>
      </c>
      <c r="N41" s="54">
        <v>30</v>
      </c>
      <c r="O41" s="54">
        <v>2</v>
      </c>
      <c r="P41" s="54"/>
      <c r="Q41" s="32">
        <v>77.41</v>
      </c>
      <c r="R41" s="28">
        <v>52.9</v>
      </c>
      <c r="S41" s="34">
        <f t="shared" si="9"/>
        <v>10115</v>
      </c>
      <c r="T41" s="33">
        <f t="shared" si="1"/>
        <v>10115</v>
      </c>
      <c r="U41" s="33">
        <v>10115</v>
      </c>
      <c r="V41" s="34">
        <f t="shared" si="5"/>
        <v>26013</v>
      </c>
      <c r="W41" s="33">
        <f t="shared" si="6"/>
        <v>5852</v>
      </c>
      <c r="X41" s="33">
        <f t="shared" si="7"/>
        <v>15967</v>
      </c>
    </row>
    <row r="42" spans="1:24" s="24" customFormat="1" ht="15.75">
      <c r="A42" s="29">
        <v>35</v>
      </c>
      <c r="B42" s="22" t="s">
        <v>34</v>
      </c>
      <c r="C42" s="52"/>
      <c r="D42" s="52"/>
      <c r="E42" s="53"/>
      <c r="F42" s="23">
        <v>68.03</v>
      </c>
      <c r="G42" s="28">
        <v>52.9</v>
      </c>
      <c r="H42" s="34">
        <f t="shared" si="2"/>
        <v>8889</v>
      </c>
      <c r="I42" s="34">
        <f t="shared" si="0"/>
        <v>8889</v>
      </c>
      <c r="J42" s="34">
        <v>8889</v>
      </c>
      <c r="K42" s="34">
        <v>5852</v>
      </c>
      <c r="L42" s="34">
        <v>5852</v>
      </c>
      <c r="M42" s="34">
        <f t="shared" si="8"/>
        <v>14741</v>
      </c>
      <c r="N42" s="54">
        <v>27</v>
      </c>
      <c r="O42" s="54"/>
      <c r="P42" s="54"/>
      <c r="Q42" s="32">
        <v>77.41</v>
      </c>
      <c r="R42" s="28">
        <v>52.9</v>
      </c>
      <c r="S42" s="34">
        <f t="shared" si="9"/>
        <v>10115</v>
      </c>
      <c r="T42" s="33">
        <f t="shared" si="1"/>
        <v>10115</v>
      </c>
      <c r="U42" s="33">
        <v>10115</v>
      </c>
      <c r="V42" s="34">
        <f t="shared" si="5"/>
        <v>5852</v>
      </c>
      <c r="W42" s="33">
        <f t="shared" si="6"/>
        <v>5852</v>
      </c>
      <c r="X42" s="33">
        <f t="shared" si="7"/>
        <v>15967</v>
      </c>
    </row>
    <row r="43" spans="1:24" s="24" customFormat="1" ht="15.75">
      <c r="A43" s="29">
        <v>36</v>
      </c>
      <c r="B43" s="22" t="s">
        <v>35</v>
      </c>
      <c r="C43" s="52"/>
      <c r="D43" s="52"/>
      <c r="E43" s="53"/>
      <c r="F43" s="23">
        <v>68.03</v>
      </c>
      <c r="G43" s="28">
        <v>52.9</v>
      </c>
      <c r="H43" s="34">
        <f t="shared" si="2"/>
        <v>8889</v>
      </c>
      <c r="I43" s="34">
        <f t="shared" si="0"/>
        <v>8889</v>
      </c>
      <c r="J43" s="34">
        <v>8889</v>
      </c>
      <c r="K43" s="34">
        <v>22397</v>
      </c>
      <c r="L43" s="34">
        <v>5852</v>
      </c>
      <c r="M43" s="34">
        <f t="shared" si="8"/>
        <v>14741</v>
      </c>
      <c r="N43" s="54">
        <v>32</v>
      </c>
      <c r="O43" s="54"/>
      <c r="P43" s="54">
        <v>1</v>
      </c>
      <c r="Q43" s="32">
        <v>77.41</v>
      </c>
      <c r="R43" s="28">
        <v>52.9</v>
      </c>
      <c r="S43" s="34">
        <f t="shared" si="9"/>
        <v>10115</v>
      </c>
      <c r="T43" s="33">
        <f t="shared" si="1"/>
        <v>10115</v>
      </c>
      <c r="U43" s="33">
        <v>10115</v>
      </c>
      <c r="V43" s="34">
        <f t="shared" si="5"/>
        <v>22397</v>
      </c>
      <c r="W43" s="33">
        <f t="shared" si="6"/>
        <v>5852</v>
      </c>
      <c r="X43" s="33">
        <f t="shared" si="7"/>
        <v>15967</v>
      </c>
    </row>
    <row r="44" spans="1:24" s="26" customFormat="1" ht="16.5" customHeight="1">
      <c r="A44" s="29">
        <v>37</v>
      </c>
      <c r="B44" s="25" t="s">
        <v>36</v>
      </c>
      <c r="C44" s="63"/>
      <c r="D44" s="52"/>
      <c r="E44" s="53"/>
      <c r="F44" s="23">
        <v>68.03</v>
      </c>
      <c r="G44" s="28">
        <v>52.9</v>
      </c>
      <c r="H44" s="34">
        <f t="shared" si="2"/>
        <v>8889</v>
      </c>
      <c r="I44" s="34">
        <f t="shared" si="0"/>
        <v>8889</v>
      </c>
      <c r="J44" s="34">
        <v>8889</v>
      </c>
      <c r="K44" s="34">
        <v>21565</v>
      </c>
      <c r="L44" s="34">
        <v>5852</v>
      </c>
      <c r="M44" s="34">
        <f t="shared" si="8"/>
        <v>14741</v>
      </c>
      <c r="N44" s="54">
        <v>20</v>
      </c>
      <c r="O44" s="54"/>
      <c r="P44" s="54"/>
      <c r="Q44" s="32">
        <v>77.41</v>
      </c>
      <c r="R44" s="28">
        <v>52.9</v>
      </c>
      <c r="S44" s="34">
        <f t="shared" si="9"/>
        <v>10115</v>
      </c>
      <c r="T44" s="33">
        <f t="shared" si="1"/>
        <v>10115</v>
      </c>
      <c r="U44" s="33">
        <v>10115</v>
      </c>
      <c r="V44" s="34">
        <f t="shared" si="5"/>
        <v>21565</v>
      </c>
      <c r="W44" s="33">
        <f t="shared" si="6"/>
        <v>5852</v>
      </c>
      <c r="X44" s="33">
        <f t="shared" si="7"/>
        <v>15967</v>
      </c>
    </row>
    <row r="45" spans="1:24" s="26" customFormat="1" ht="15" customHeight="1">
      <c r="A45" s="29">
        <v>38</v>
      </c>
      <c r="B45" s="25" t="s">
        <v>37</v>
      </c>
      <c r="C45" s="63"/>
      <c r="D45" s="52"/>
      <c r="E45" s="53"/>
      <c r="F45" s="23">
        <v>68.03</v>
      </c>
      <c r="G45" s="28">
        <v>52.9</v>
      </c>
      <c r="H45" s="34">
        <f t="shared" si="2"/>
        <v>8889</v>
      </c>
      <c r="I45" s="34">
        <f t="shared" si="0"/>
        <v>8889</v>
      </c>
      <c r="J45" s="34">
        <v>8889</v>
      </c>
      <c r="K45" s="34">
        <v>21321</v>
      </c>
      <c r="L45" s="34">
        <v>5852</v>
      </c>
      <c r="M45" s="34">
        <f t="shared" si="8"/>
        <v>14741</v>
      </c>
      <c r="N45" s="54">
        <v>33</v>
      </c>
      <c r="O45" s="54"/>
      <c r="P45" s="54">
        <v>1</v>
      </c>
      <c r="Q45" s="32">
        <v>77.41</v>
      </c>
      <c r="R45" s="28">
        <v>52.9</v>
      </c>
      <c r="S45" s="34">
        <f t="shared" si="9"/>
        <v>10115</v>
      </c>
      <c r="T45" s="33">
        <f t="shared" si="1"/>
        <v>10115</v>
      </c>
      <c r="U45" s="33">
        <v>10115</v>
      </c>
      <c r="V45" s="34">
        <f t="shared" si="5"/>
        <v>21321</v>
      </c>
      <c r="W45" s="33">
        <f t="shared" si="6"/>
        <v>5852</v>
      </c>
      <c r="X45" s="33">
        <f t="shared" si="7"/>
        <v>15967</v>
      </c>
    </row>
    <row r="46" spans="1:24" s="24" customFormat="1" ht="15.75" customHeight="1">
      <c r="A46" s="29">
        <v>39</v>
      </c>
      <c r="B46" s="22" t="s">
        <v>38</v>
      </c>
      <c r="C46" s="52"/>
      <c r="D46" s="52"/>
      <c r="E46" s="53"/>
      <c r="F46" s="23">
        <v>68.03</v>
      </c>
      <c r="G46" s="28">
        <v>52.9</v>
      </c>
      <c r="H46" s="34">
        <f t="shared" si="2"/>
        <v>8889</v>
      </c>
      <c r="I46" s="34">
        <f t="shared" si="0"/>
        <v>8889</v>
      </c>
      <c r="J46" s="34">
        <v>8889</v>
      </c>
      <c r="K46" s="34">
        <v>13870</v>
      </c>
      <c r="L46" s="34">
        <v>5852</v>
      </c>
      <c r="M46" s="34">
        <f t="shared" si="8"/>
        <v>14741</v>
      </c>
      <c r="N46" s="54">
        <v>67</v>
      </c>
      <c r="O46" s="54"/>
      <c r="P46" s="54"/>
      <c r="Q46" s="32">
        <v>77.41</v>
      </c>
      <c r="R46" s="28">
        <v>52.9</v>
      </c>
      <c r="S46" s="34">
        <f t="shared" si="9"/>
        <v>10115</v>
      </c>
      <c r="T46" s="33">
        <f t="shared" si="1"/>
        <v>10115</v>
      </c>
      <c r="U46" s="33">
        <v>10115</v>
      </c>
      <c r="V46" s="34">
        <f t="shared" si="5"/>
        <v>13870</v>
      </c>
      <c r="W46" s="33">
        <f t="shared" si="6"/>
        <v>5852</v>
      </c>
      <c r="X46" s="33">
        <f t="shared" si="7"/>
        <v>15967</v>
      </c>
    </row>
    <row r="47" spans="1:24" s="24" customFormat="1" ht="15.75">
      <c r="A47" s="29">
        <v>40</v>
      </c>
      <c r="B47" s="22" t="s">
        <v>39</v>
      </c>
      <c r="C47" s="52"/>
      <c r="D47" s="52"/>
      <c r="E47" s="53"/>
      <c r="F47" s="23">
        <v>68.03</v>
      </c>
      <c r="G47" s="28">
        <v>52.9</v>
      </c>
      <c r="H47" s="34">
        <f t="shared" si="2"/>
        <v>8889</v>
      </c>
      <c r="I47" s="34">
        <f t="shared" si="0"/>
        <v>8889</v>
      </c>
      <c r="J47" s="34">
        <v>8889</v>
      </c>
      <c r="K47" s="108">
        <v>54225</v>
      </c>
      <c r="L47" s="34">
        <v>5852</v>
      </c>
      <c r="M47" s="108">
        <f t="shared" si="8"/>
        <v>14741</v>
      </c>
      <c r="N47" s="54">
        <v>12</v>
      </c>
      <c r="O47" s="54"/>
      <c r="P47" s="54"/>
      <c r="Q47" s="32">
        <v>77.41</v>
      </c>
      <c r="R47" s="28">
        <v>52.9</v>
      </c>
      <c r="S47" s="34">
        <f t="shared" si="9"/>
        <v>10115</v>
      </c>
      <c r="T47" s="33">
        <f t="shared" si="1"/>
        <v>10115</v>
      </c>
      <c r="U47" s="33">
        <v>10115</v>
      </c>
      <c r="V47" s="34">
        <f t="shared" si="5"/>
        <v>54225</v>
      </c>
      <c r="W47" s="33">
        <f t="shared" si="6"/>
        <v>5852</v>
      </c>
      <c r="X47" s="33">
        <f t="shared" si="7"/>
        <v>15967</v>
      </c>
    </row>
    <row r="48" spans="1:24" s="24" customFormat="1" ht="15.75">
      <c r="A48" s="29">
        <v>41</v>
      </c>
      <c r="B48" s="22" t="s">
        <v>22</v>
      </c>
      <c r="C48" s="68"/>
      <c r="D48" s="68"/>
      <c r="E48" s="68"/>
      <c r="F48" s="23">
        <v>68.03</v>
      </c>
      <c r="G48" s="28">
        <v>52.9</v>
      </c>
      <c r="H48" s="34">
        <f t="shared" si="2"/>
        <v>8889</v>
      </c>
      <c r="I48" s="34">
        <f t="shared" si="0"/>
        <v>8889</v>
      </c>
      <c r="J48" s="34">
        <v>8889</v>
      </c>
      <c r="K48" s="108">
        <v>18503</v>
      </c>
      <c r="L48" s="34">
        <v>5852</v>
      </c>
      <c r="M48" s="108">
        <f t="shared" si="8"/>
        <v>14741</v>
      </c>
      <c r="N48" s="68">
        <v>39</v>
      </c>
      <c r="O48" s="68"/>
      <c r="P48" s="68"/>
      <c r="Q48" s="32">
        <v>77.41</v>
      </c>
      <c r="R48" s="28">
        <v>52.9</v>
      </c>
      <c r="S48" s="34">
        <f t="shared" si="9"/>
        <v>10115</v>
      </c>
      <c r="T48" s="33">
        <f t="shared" si="1"/>
        <v>10115</v>
      </c>
      <c r="U48" s="33">
        <v>10115</v>
      </c>
      <c r="V48" s="34">
        <f t="shared" si="5"/>
        <v>18503</v>
      </c>
      <c r="W48" s="33">
        <f t="shared" si="6"/>
        <v>5852</v>
      </c>
      <c r="X48" s="33">
        <f t="shared" si="7"/>
        <v>15967</v>
      </c>
    </row>
    <row r="49" spans="1:24" s="24" customFormat="1" ht="15.75">
      <c r="A49" s="29">
        <v>42</v>
      </c>
      <c r="B49" s="22" t="s">
        <v>40</v>
      </c>
      <c r="C49" s="49"/>
      <c r="D49" s="49"/>
      <c r="E49" s="50"/>
      <c r="F49" s="23">
        <v>68.03</v>
      </c>
      <c r="G49" s="28">
        <v>52.9</v>
      </c>
      <c r="H49" s="34">
        <f t="shared" si="2"/>
        <v>8889</v>
      </c>
      <c r="I49" s="34">
        <f t="shared" si="0"/>
        <v>8889</v>
      </c>
      <c r="J49" s="34">
        <v>8889</v>
      </c>
      <c r="K49" s="108">
        <v>35495</v>
      </c>
      <c r="L49" s="34">
        <v>5852</v>
      </c>
      <c r="M49" s="108">
        <f t="shared" si="8"/>
        <v>14741</v>
      </c>
      <c r="N49" s="51">
        <v>20</v>
      </c>
      <c r="O49" s="51"/>
      <c r="P49" s="51"/>
      <c r="Q49" s="32">
        <v>77.41</v>
      </c>
      <c r="R49" s="28">
        <v>52.9</v>
      </c>
      <c r="S49" s="34">
        <f t="shared" si="9"/>
        <v>10115</v>
      </c>
      <c r="T49" s="33">
        <f t="shared" si="1"/>
        <v>10115</v>
      </c>
      <c r="U49" s="33">
        <v>10115</v>
      </c>
      <c r="V49" s="34">
        <f t="shared" si="5"/>
        <v>35495</v>
      </c>
      <c r="W49" s="33">
        <f t="shared" si="6"/>
        <v>5852</v>
      </c>
      <c r="X49" s="33">
        <f t="shared" si="7"/>
        <v>15967</v>
      </c>
    </row>
    <row r="50" spans="1:24" s="24" customFormat="1" ht="15.75">
      <c r="A50" s="29">
        <v>43</v>
      </c>
      <c r="B50" s="22" t="s">
        <v>41</v>
      </c>
      <c r="C50" s="52"/>
      <c r="D50" s="52"/>
      <c r="E50" s="53"/>
      <c r="F50" s="23">
        <v>68.03</v>
      </c>
      <c r="G50" s="28">
        <v>52.9</v>
      </c>
      <c r="H50" s="34">
        <f t="shared" si="2"/>
        <v>8889</v>
      </c>
      <c r="I50" s="34">
        <f t="shared" si="0"/>
        <v>8889</v>
      </c>
      <c r="J50" s="34">
        <v>8889</v>
      </c>
      <c r="K50" s="108">
        <v>80313</v>
      </c>
      <c r="L50" s="34">
        <v>5852</v>
      </c>
      <c r="M50" s="108">
        <f t="shared" si="8"/>
        <v>14741</v>
      </c>
      <c r="N50" s="54">
        <v>8</v>
      </c>
      <c r="O50" s="54"/>
      <c r="P50" s="54"/>
      <c r="Q50" s="32">
        <v>77.41</v>
      </c>
      <c r="R50" s="28">
        <v>52.9</v>
      </c>
      <c r="S50" s="34">
        <f t="shared" si="9"/>
        <v>10115</v>
      </c>
      <c r="T50" s="33">
        <f t="shared" si="1"/>
        <v>10115</v>
      </c>
      <c r="U50" s="33">
        <v>10115</v>
      </c>
      <c r="V50" s="34">
        <f t="shared" si="5"/>
        <v>80313</v>
      </c>
      <c r="W50" s="33">
        <f t="shared" si="6"/>
        <v>5852</v>
      </c>
      <c r="X50" s="33">
        <f t="shared" si="7"/>
        <v>15967</v>
      </c>
    </row>
    <row r="51" spans="1:24" s="24" customFormat="1" ht="15.75">
      <c r="A51" s="29">
        <v>44</v>
      </c>
      <c r="B51" s="22" t="s">
        <v>42</v>
      </c>
      <c r="C51" s="52"/>
      <c r="D51" s="52"/>
      <c r="E51" s="53"/>
      <c r="F51" s="23">
        <v>68.03</v>
      </c>
      <c r="G51" s="28">
        <v>52.9</v>
      </c>
      <c r="H51" s="34">
        <f t="shared" si="2"/>
        <v>8889</v>
      </c>
      <c r="I51" s="34">
        <f t="shared" si="0"/>
        <v>8889</v>
      </c>
      <c r="J51" s="34">
        <v>8889</v>
      </c>
      <c r="K51" s="108">
        <v>43414</v>
      </c>
      <c r="L51" s="34">
        <v>5852</v>
      </c>
      <c r="M51" s="108">
        <f t="shared" si="8"/>
        <v>14741</v>
      </c>
      <c r="N51" s="54">
        <v>14</v>
      </c>
      <c r="O51" s="54"/>
      <c r="P51" s="54"/>
      <c r="Q51" s="32">
        <v>77.41</v>
      </c>
      <c r="R51" s="28">
        <v>52.9</v>
      </c>
      <c r="S51" s="34">
        <f t="shared" si="9"/>
        <v>10115</v>
      </c>
      <c r="T51" s="33">
        <f t="shared" si="1"/>
        <v>10115</v>
      </c>
      <c r="U51" s="33">
        <v>10115</v>
      </c>
      <c r="V51" s="34">
        <f t="shared" si="5"/>
        <v>43414</v>
      </c>
      <c r="W51" s="33">
        <f t="shared" si="6"/>
        <v>5852</v>
      </c>
      <c r="X51" s="33">
        <f t="shared" si="7"/>
        <v>15967</v>
      </c>
    </row>
    <row r="52" spans="1:24" s="24" customFormat="1" ht="15.75">
      <c r="A52" s="29">
        <v>45</v>
      </c>
      <c r="B52" s="22" t="s">
        <v>23</v>
      </c>
      <c r="C52" s="52"/>
      <c r="D52" s="52"/>
      <c r="E52" s="53"/>
      <c r="F52" s="23">
        <v>68.03</v>
      </c>
      <c r="G52" s="28">
        <v>52.9</v>
      </c>
      <c r="H52" s="34">
        <f t="shared" si="2"/>
        <v>8889</v>
      </c>
      <c r="I52" s="34">
        <f t="shared" si="0"/>
        <v>8889</v>
      </c>
      <c r="J52" s="34">
        <v>8889</v>
      </c>
      <c r="K52" s="108">
        <v>23110</v>
      </c>
      <c r="L52" s="34">
        <v>5852</v>
      </c>
      <c r="M52" s="108">
        <f t="shared" si="8"/>
        <v>14741</v>
      </c>
      <c r="N52" s="54">
        <v>20</v>
      </c>
      <c r="O52" s="54"/>
      <c r="P52" s="54">
        <v>1</v>
      </c>
      <c r="Q52" s="32">
        <v>77.41</v>
      </c>
      <c r="R52" s="28">
        <v>52.9</v>
      </c>
      <c r="S52" s="34">
        <f t="shared" si="9"/>
        <v>10115</v>
      </c>
      <c r="T52" s="33">
        <f t="shared" si="1"/>
        <v>10115</v>
      </c>
      <c r="U52" s="33">
        <v>10115</v>
      </c>
      <c r="V52" s="34">
        <f t="shared" si="5"/>
        <v>23110</v>
      </c>
      <c r="W52" s="33">
        <f t="shared" si="6"/>
        <v>5852</v>
      </c>
      <c r="X52" s="33">
        <f t="shared" si="7"/>
        <v>15967</v>
      </c>
    </row>
    <row r="53" spans="1:24" s="24" customFormat="1" ht="15.75">
      <c r="A53" s="29">
        <v>46</v>
      </c>
      <c r="B53" s="22" t="s">
        <v>43</v>
      </c>
      <c r="C53" s="52"/>
      <c r="D53" s="52"/>
      <c r="E53" s="53"/>
      <c r="F53" s="23">
        <v>68.03</v>
      </c>
      <c r="G53" s="28">
        <v>52.9</v>
      </c>
      <c r="H53" s="34">
        <f t="shared" si="2"/>
        <v>8889</v>
      </c>
      <c r="I53" s="34">
        <f t="shared" si="0"/>
        <v>8889</v>
      </c>
      <c r="J53" s="34">
        <v>8889</v>
      </c>
      <c r="K53" s="108">
        <v>23276</v>
      </c>
      <c r="L53" s="34">
        <v>5852</v>
      </c>
      <c r="M53" s="108">
        <f t="shared" si="8"/>
        <v>14741</v>
      </c>
      <c r="N53" s="54">
        <v>21</v>
      </c>
      <c r="O53" s="54"/>
      <c r="P53" s="54"/>
      <c r="Q53" s="32">
        <v>77.41</v>
      </c>
      <c r="R53" s="28">
        <v>52.9</v>
      </c>
      <c r="S53" s="34">
        <f t="shared" si="9"/>
        <v>10115</v>
      </c>
      <c r="T53" s="33">
        <f t="shared" si="1"/>
        <v>10115</v>
      </c>
      <c r="U53" s="33">
        <v>10115</v>
      </c>
      <c r="V53" s="34">
        <f t="shared" si="5"/>
        <v>23276</v>
      </c>
      <c r="W53" s="33">
        <f t="shared" si="6"/>
        <v>5852</v>
      </c>
      <c r="X53" s="33">
        <f t="shared" si="7"/>
        <v>15967</v>
      </c>
    </row>
    <row r="54" spans="1:24" s="24" customFormat="1" ht="34.5" customHeight="1">
      <c r="A54" s="29">
        <v>47</v>
      </c>
      <c r="B54" s="25" t="s">
        <v>44</v>
      </c>
      <c r="C54" s="63"/>
      <c r="D54" s="52"/>
      <c r="E54" s="53"/>
      <c r="F54" s="23">
        <v>68.03</v>
      </c>
      <c r="G54" s="28">
        <v>52.9</v>
      </c>
      <c r="H54" s="34">
        <f t="shared" si="2"/>
        <v>8889</v>
      </c>
      <c r="I54" s="34">
        <f t="shared" si="0"/>
        <v>8889</v>
      </c>
      <c r="J54" s="34">
        <v>8889</v>
      </c>
      <c r="K54" s="108">
        <v>30720</v>
      </c>
      <c r="L54" s="34">
        <v>5852</v>
      </c>
      <c r="M54" s="108">
        <f t="shared" si="8"/>
        <v>14741</v>
      </c>
      <c r="N54" s="68">
        <v>10</v>
      </c>
      <c r="O54" s="54"/>
      <c r="P54" s="54"/>
      <c r="Q54" s="32">
        <v>77.41</v>
      </c>
      <c r="R54" s="28">
        <v>52.9</v>
      </c>
      <c r="S54" s="34">
        <f t="shared" si="9"/>
        <v>10115</v>
      </c>
      <c r="T54" s="33">
        <f t="shared" si="1"/>
        <v>10115</v>
      </c>
      <c r="U54" s="33">
        <v>10115</v>
      </c>
      <c r="V54" s="34">
        <f t="shared" si="5"/>
        <v>30720</v>
      </c>
      <c r="W54" s="33">
        <f t="shared" si="6"/>
        <v>5852</v>
      </c>
      <c r="X54" s="33">
        <f t="shared" si="7"/>
        <v>15967</v>
      </c>
    </row>
    <row r="55" spans="1:24" s="26" customFormat="1" ht="31.5">
      <c r="A55" s="29">
        <v>48</v>
      </c>
      <c r="B55" s="25" t="s">
        <v>45</v>
      </c>
      <c r="C55" s="63"/>
      <c r="D55" s="63"/>
      <c r="E55" s="64"/>
      <c r="F55" s="23">
        <v>68.03</v>
      </c>
      <c r="G55" s="28">
        <v>52.9</v>
      </c>
      <c r="H55" s="34">
        <f t="shared" si="2"/>
        <v>8889</v>
      </c>
      <c r="I55" s="34">
        <f t="shared" si="0"/>
        <v>8889</v>
      </c>
      <c r="J55" s="34">
        <v>8889</v>
      </c>
      <c r="K55" s="108">
        <v>21625</v>
      </c>
      <c r="L55" s="34">
        <v>5852</v>
      </c>
      <c r="M55" s="108">
        <f t="shared" si="8"/>
        <v>14741</v>
      </c>
      <c r="N55" s="69">
        <v>20</v>
      </c>
      <c r="O55" s="54"/>
      <c r="P55" s="54"/>
      <c r="Q55" s="70">
        <v>77.41</v>
      </c>
      <c r="R55" s="28">
        <v>52.9</v>
      </c>
      <c r="S55" s="34">
        <f t="shared" si="9"/>
        <v>10115</v>
      </c>
      <c r="T55" s="33">
        <f t="shared" si="1"/>
        <v>10115</v>
      </c>
      <c r="U55" s="33">
        <v>10115</v>
      </c>
      <c r="V55" s="34">
        <f t="shared" si="5"/>
        <v>21625</v>
      </c>
      <c r="W55" s="33">
        <f t="shared" si="6"/>
        <v>5852</v>
      </c>
      <c r="X55" s="33">
        <f t="shared" si="7"/>
        <v>15967</v>
      </c>
    </row>
    <row r="56" spans="1:24" s="35" customFormat="1" ht="32.25" customHeight="1">
      <c r="A56" s="140"/>
      <c r="B56" s="141" t="s">
        <v>73</v>
      </c>
      <c r="C56" s="142">
        <f>SUM(C8:C55)</f>
        <v>580</v>
      </c>
      <c r="D56" s="142">
        <f>SUM(D8:D55)</f>
        <v>1</v>
      </c>
      <c r="E56" s="142">
        <f>SUM(E8:E55)</f>
        <v>2</v>
      </c>
      <c r="F56" s="143"/>
      <c r="G56" s="144"/>
      <c r="H56" s="145"/>
      <c r="I56" s="108"/>
      <c r="J56" s="108"/>
      <c r="K56" s="146"/>
      <c r="L56" s="146"/>
      <c r="M56" s="142"/>
      <c r="N56" s="142">
        <f>SUM(N8:N55)</f>
        <v>3154</v>
      </c>
      <c r="O56" s="142">
        <f>SUM(O8:O55)</f>
        <v>28</v>
      </c>
      <c r="P56" s="142">
        <f>SUM(P8:P55)</f>
        <v>24</v>
      </c>
      <c r="Q56" s="145"/>
      <c r="R56" s="147"/>
      <c r="S56" s="148"/>
      <c r="T56" s="33"/>
      <c r="U56" s="33"/>
      <c r="V56" s="145"/>
      <c r="W56" s="33"/>
      <c r="X56" s="149"/>
    </row>
    <row r="57" spans="1:24" s="84" customFormat="1" ht="15.75">
      <c r="A57" s="75"/>
      <c r="B57" s="76"/>
      <c r="C57" s="77"/>
      <c r="D57" s="77"/>
      <c r="E57" s="77"/>
      <c r="F57" s="78"/>
      <c r="G57" s="79"/>
      <c r="H57" s="77"/>
      <c r="I57" s="77"/>
      <c r="J57" s="77"/>
      <c r="K57" s="80"/>
      <c r="L57" s="77"/>
      <c r="M57" s="77"/>
      <c r="N57" s="77"/>
      <c r="O57" s="77"/>
      <c r="P57" s="81"/>
      <c r="Q57" s="82"/>
      <c r="R57" s="79"/>
      <c r="S57" s="77"/>
      <c r="T57" s="83"/>
      <c r="U57" s="83"/>
      <c r="V57" s="77"/>
      <c r="W57" s="83"/>
      <c r="X57" s="83"/>
    </row>
    <row r="58" spans="1:24" s="84" customFormat="1" ht="15.75">
      <c r="A58" s="75"/>
      <c r="B58" s="76"/>
      <c r="C58" s="77"/>
      <c r="D58" s="77"/>
      <c r="E58" s="77"/>
      <c r="F58" s="78"/>
      <c r="G58" s="79"/>
      <c r="H58" s="77"/>
      <c r="I58" s="77"/>
      <c r="J58" s="77"/>
      <c r="K58" s="80"/>
      <c r="L58" s="77"/>
      <c r="M58" s="77"/>
      <c r="N58" s="77"/>
      <c r="O58" s="77">
        <f>SUM(N56:P56)</f>
        <v>3206</v>
      </c>
      <c r="P58" s="85"/>
      <c r="Q58" s="82"/>
      <c r="R58" s="79"/>
      <c r="S58" s="77"/>
      <c r="T58" s="83"/>
      <c r="U58" s="83"/>
      <c r="V58" s="77"/>
      <c r="W58" s="83"/>
      <c r="X58" s="83"/>
    </row>
    <row r="59" spans="1:24" s="92" customFormat="1" ht="15.75">
      <c r="A59" s="86"/>
      <c r="B59" s="87"/>
      <c r="C59" s="88"/>
      <c r="D59" s="88"/>
      <c r="E59" s="88"/>
      <c r="F59" s="89"/>
      <c r="G59" s="89"/>
      <c r="H59" s="90"/>
      <c r="I59" s="90"/>
      <c r="J59" s="88"/>
      <c r="K59" s="91"/>
      <c r="L59" s="91"/>
      <c r="M59" s="88"/>
      <c r="N59" s="88"/>
      <c r="O59" s="88"/>
      <c r="P59" s="88"/>
      <c r="Q59" s="90"/>
      <c r="T59" s="93"/>
      <c r="U59" s="83"/>
      <c r="W59" s="83"/>
      <c r="X59" s="83"/>
    </row>
    <row r="60" spans="1:17" s="40" customFormat="1" ht="18" customHeight="1">
      <c r="A60" s="94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40" customFormat="1" ht="15.75">
      <c r="A61" s="3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s="40" customFormat="1" ht="15.75">
      <c r="A62" s="3"/>
      <c r="B62" s="43"/>
      <c r="C62" s="17"/>
      <c r="D62" s="17"/>
      <c r="E62" s="17"/>
      <c r="F62" s="17"/>
      <c r="G62" s="17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40" customFormat="1" ht="15.75">
      <c r="A63" s="3"/>
      <c r="B63" s="4"/>
      <c r="C63" s="17"/>
      <c r="D63" s="17"/>
      <c r="E63" s="17"/>
      <c r="F63" s="17"/>
      <c r="G63" s="17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>
      <c r="A64" s="3"/>
      <c r="B64" s="4"/>
      <c r="C64" s="17"/>
      <c r="D64" s="17"/>
      <c r="E64" s="17"/>
      <c r="F64" s="17"/>
      <c r="G64" s="17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3"/>
      <c r="B65" s="6"/>
      <c r="C65" s="6"/>
      <c r="D65" s="6"/>
      <c r="E65" s="6"/>
      <c r="F65" s="6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3"/>
      <c r="B66" s="6"/>
      <c r="C66" s="6"/>
      <c r="D66" s="6"/>
      <c r="E66" s="6"/>
      <c r="F66" s="6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6.5" customHeight="1">
      <c r="A67" s="3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3"/>
      <c r="B68" s="4"/>
      <c r="C68" s="4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3"/>
      <c r="B69" s="4"/>
      <c r="C69" s="4"/>
      <c r="D69" s="4"/>
      <c r="E69" s="4"/>
      <c r="F69" s="4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3"/>
      <c r="B70" s="4"/>
      <c r="C70" s="4"/>
      <c r="D70" s="4"/>
      <c r="E70" s="4"/>
      <c r="F70" s="4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>
      <c r="A71" s="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>
      <c r="A72" s="3"/>
      <c r="B72" s="4"/>
      <c r="C72" s="4"/>
      <c r="D72" s="4"/>
      <c r="E72" s="4"/>
      <c r="F72" s="4"/>
      <c r="G72" s="4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3"/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s="9" customFormat="1" ht="16.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</row>
    <row r="75" spans="1:17" ht="15.75">
      <c r="A75" s="3"/>
      <c r="B75" s="6"/>
      <c r="C75" s="6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>
      <c r="A76" s="3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3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3"/>
      <c r="B78" s="6"/>
      <c r="C78" s="6"/>
      <c r="D78" s="6"/>
      <c r="E78" s="6"/>
      <c r="F78" s="6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8" customHeight="1">
      <c r="A79" s="3"/>
      <c r="B79" s="6"/>
      <c r="C79" s="6"/>
      <c r="D79" s="6"/>
      <c r="E79" s="6"/>
      <c r="F79" s="6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3"/>
      <c r="B80" s="6"/>
      <c r="C80" s="6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3"/>
      <c r="B81" s="6"/>
      <c r="C81" s="6"/>
      <c r="D81" s="6"/>
      <c r="E81" s="6"/>
      <c r="F81" s="6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3"/>
      <c r="B82" s="6"/>
      <c r="C82" s="6"/>
      <c r="D82" s="6"/>
      <c r="E82" s="6"/>
      <c r="F82" s="6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3"/>
      <c r="B83" s="6"/>
      <c r="C83" s="6"/>
      <c r="D83" s="6"/>
      <c r="E83" s="6"/>
      <c r="F83" s="6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3"/>
      <c r="B84" s="6"/>
      <c r="C84" s="6"/>
      <c r="D84" s="6"/>
      <c r="E84" s="6"/>
      <c r="F84" s="6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3"/>
      <c r="B85" s="4"/>
      <c r="C85" s="4"/>
      <c r="D85" s="4"/>
      <c r="E85" s="4"/>
      <c r="F85" s="4"/>
      <c r="G85" s="4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3"/>
      <c r="B86" s="4"/>
      <c r="C86" s="4"/>
      <c r="D86" s="4"/>
      <c r="E86" s="4"/>
      <c r="F86" s="4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3"/>
      <c r="B87" s="4"/>
      <c r="C87" s="4"/>
      <c r="D87" s="4"/>
      <c r="E87" s="4"/>
      <c r="F87" s="4"/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3"/>
      <c r="B88" s="4"/>
      <c r="C88" s="4"/>
      <c r="D88" s="4"/>
      <c r="E88" s="4"/>
      <c r="F88" s="4"/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3"/>
      <c r="B89" s="4"/>
      <c r="C89" s="4"/>
      <c r="D89" s="4"/>
      <c r="E89" s="4"/>
      <c r="F89" s="4"/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3"/>
      <c r="B90" s="4"/>
      <c r="C90" s="4"/>
      <c r="D90" s="4"/>
      <c r="E90" s="4"/>
      <c r="F90" s="4"/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3"/>
      <c r="B91" s="4"/>
      <c r="C91" s="4"/>
      <c r="D91" s="4"/>
      <c r="E91" s="4"/>
      <c r="F91" s="4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3"/>
      <c r="B92" s="4"/>
      <c r="C92" s="4"/>
      <c r="D92" s="4"/>
      <c r="E92" s="4"/>
      <c r="F92" s="4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3"/>
      <c r="B93" s="4"/>
      <c r="C93" s="4"/>
      <c r="D93" s="4"/>
      <c r="E93" s="4"/>
      <c r="F93" s="4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3"/>
      <c r="B94" s="4"/>
      <c r="C94" s="4"/>
      <c r="D94" s="4"/>
      <c r="E94" s="4"/>
      <c r="F94" s="4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3"/>
      <c r="B95" s="4"/>
      <c r="C95" s="4"/>
      <c r="D95" s="4"/>
      <c r="E95" s="4"/>
      <c r="F95" s="4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3"/>
      <c r="B96" s="4"/>
      <c r="C96" s="4"/>
      <c r="D96" s="4"/>
      <c r="E96" s="4"/>
      <c r="F96" s="4"/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3"/>
      <c r="B97" s="4"/>
      <c r="C97" s="4"/>
      <c r="D97" s="4"/>
      <c r="E97" s="4"/>
      <c r="F97" s="4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3"/>
      <c r="B98" s="4"/>
      <c r="C98" s="4"/>
      <c r="D98" s="4"/>
      <c r="E98" s="4"/>
      <c r="F98" s="4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3"/>
      <c r="B99" s="4"/>
      <c r="C99" s="4"/>
      <c r="D99" s="4"/>
      <c r="E99" s="4"/>
      <c r="F99" s="4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3"/>
      <c r="B100" s="4"/>
      <c r="C100" s="4"/>
      <c r="D100" s="4"/>
      <c r="E100" s="4"/>
      <c r="F100" s="4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3"/>
      <c r="B101" s="4"/>
      <c r="C101" s="4"/>
      <c r="D101" s="4"/>
      <c r="E101" s="4"/>
      <c r="F101" s="4"/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3"/>
      <c r="B102" s="4"/>
      <c r="C102" s="4"/>
      <c r="D102" s="4"/>
      <c r="E102" s="4"/>
      <c r="F102" s="4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3"/>
      <c r="B103" s="4"/>
      <c r="C103" s="4"/>
      <c r="D103" s="4"/>
      <c r="E103" s="4"/>
      <c r="F103" s="4"/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3"/>
      <c r="B104" s="4"/>
      <c r="C104" s="4"/>
      <c r="D104" s="4"/>
      <c r="E104" s="4"/>
      <c r="F104" s="4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3"/>
      <c r="B105" s="4"/>
      <c r="C105" s="4"/>
      <c r="D105" s="4"/>
      <c r="E105" s="4"/>
      <c r="F105" s="4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3"/>
      <c r="B106" s="4"/>
      <c r="C106" s="4"/>
      <c r="D106" s="4"/>
      <c r="E106" s="4"/>
      <c r="F106" s="4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3"/>
      <c r="B107" s="4"/>
      <c r="C107" s="4"/>
      <c r="D107" s="4"/>
      <c r="E107" s="4"/>
      <c r="F107" s="4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3"/>
      <c r="B108" s="4"/>
      <c r="C108" s="4"/>
      <c r="D108" s="4"/>
      <c r="E108" s="4"/>
      <c r="F108" s="4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3"/>
      <c r="B109" s="4"/>
      <c r="C109" s="4"/>
      <c r="D109" s="4"/>
      <c r="E109" s="4"/>
      <c r="F109" s="4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3"/>
      <c r="B110" s="4"/>
      <c r="C110" s="4"/>
      <c r="D110" s="4"/>
      <c r="E110" s="4"/>
      <c r="F110" s="4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3"/>
      <c r="B111" s="4"/>
      <c r="C111" s="4"/>
      <c r="D111" s="4"/>
      <c r="E111" s="4"/>
      <c r="F111" s="4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3"/>
      <c r="B112" s="4"/>
      <c r="C112" s="4"/>
      <c r="D112" s="4"/>
      <c r="E112" s="4"/>
      <c r="F112" s="4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3"/>
      <c r="B113" s="4"/>
      <c r="C113" s="4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3"/>
      <c r="B114" s="4"/>
      <c r="C114" s="4"/>
      <c r="D114" s="4"/>
      <c r="E114" s="4"/>
      <c r="F114" s="4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3"/>
      <c r="B115" s="4"/>
      <c r="C115" s="4"/>
      <c r="D115" s="4"/>
      <c r="E115" s="4"/>
      <c r="F115" s="4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3"/>
      <c r="B116" s="4"/>
      <c r="C116" s="4"/>
      <c r="D116" s="4"/>
      <c r="E116" s="4"/>
      <c r="F116" s="4"/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>
      <c r="A117" s="3"/>
      <c r="B117" s="4"/>
      <c r="C117" s="4"/>
      <c r="D117" s="4"/>
      <c r="E117" s="4"/>
      <c r="F117" s="4"/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>
      <c r="A118" s="3"/>
      <c r="B118" s="4"/>
      <c r="C118" s="4"/>
      <c r="D118" s="4"/>
      <c r="E118" s="4"/>
      <c r="F118" s="4"/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>
      <c r="A119" s="10"/>
      <c r="B119" s="11"/>
      <c r="C119" s="11"/>
      <c r="D119" s="11"/>
      <c r="E119" s="11"/>
      <c r="F119" s="11"/>
      <c r="G119" s="11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.75">
      <c r="A120" s="11"/>
      <c r="B120" s="11"/>
      <c r="C120" s="11"/>
      <c r="D120" s="11"/>
      <c r="E120" s="11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5.75">
      <c r="A121" s="10"/>
      <c r="B121" s="10"/>
      <c r="C121" s="10"/>
      <c r="D121" s="10"/>
      <c r="E121" s="10"/>
      <c r="F121" s="10"/>
      <c r="G121" s="10"/>
      <c r="H121" s="5"/>
      <c r="I121" s="5"/>
      <c r="J121" s="5"/>
      <c r="K121" s="5"/>
      <c r="L121" s="5"/>
      <c r="M121" s="5"/>
      <c r="N121" s="5"/>
      <c r="O121" s="5"/>
      <c r="P121" s="5"/>
      <c r="Q121" s="5"/>
    </row>
  </sheetData>
  <sheetProtection/>
  <mergeCells count="31">
    <mergeCell ref="A74:Q74"/>
    <mergeCell ref="B3:B6"/>
    <mergeCell ref="A3:A6"/>
    <mergeCell ref="C5:E5"/>
    <mergeCell ref="I3:M3"/>
    <mergeCell ref="I4:M4"/>
    <mergeCell ref="I5:I6"/>
    <mergeCell ref="N3:S3"/>
    <mergeCell ref="N4:S4"/>
    <mergeCell ref="Q5:Q6"/>
    <mergeCell ref="G1:H1"/>
    <mergeCell ref="E2:H2"/>
    <mergeCell ref="C3:H3"/>
    <mergeCell ref="C4:H4"/>
    <mergeCell ref="F5:F6"/>
    <mergeCell ref="G5:G6"/>
    <mergeCell ref="H5:H6"/>
    <mergeCell ref="R5:R6"/>
    <mergeCell ref="S5:S6"/>
    <mergeCell ref="J5:J6"/>
    <mergeCell ref="K5:K6"/>
    <mergeCell ref="L5:L6"/>
    <mergeCell ref="M5:M6"/>
    <mergeCell ref="N5:P5"/>
    <mergeCell ref="T5:T6"/>
    <mergeCell ref="U5:U6"/>
    <mergeCell ref="V5:V6"/>
    <mergeCell ref="W5:W6"/>
    <mergeCell ref="X5:X6"/>
    <mergeCell ref="T3:X3"/>
    <mergeCell ref="T4:X4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8" r:id="rId1"/>
  <rowBreaks count="1" manualBreakCount="1">
    <brk id="59" max="255" man="1"/>
  </rowBreaks>
  <colBreaks count="3" manualBreakCount="3">
    <brk id="8" max="52" man="1"/>
    <brk id="13" max="55" man="1"/>
    <brk id="19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1"/>
  <sheetViews>
    <sheetView view="pageBreakPreview" zoomScale="81" zoomScaleNormal="71" zoomScaleSheetLayoutView="81" zoomScalePageLayoutView="0" workbookViewId="0" topLeftCell="A1">
      <pane xSplit="2" ySplit="6" topLeftCell="E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" sqref="T5:T6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24.00390625" style="13" customWidth="1"/>
    <col min="4" max="4" width="19.421875" style="13" customWidth="1"/>
    <col min="5" max="6" width="17.28125" style="13" customWidth="1"/>
    <col min="7" max="9" width="26.421875" style="13" customWidth="1"/>
    <col min="10" max="11" width="17.00390625" style="13" customWidth="1"/>
    <col min="12" max="14" width="20.00390625" style="13" customWidth="1"/>
    <col min="15" max="16" width="24.421875" style="14" customWidth="1"/>
    <col min="17" max="17" width="18.28125" style="14" customWidth="1"/>
    <col min="18" max="18" width="17.140625" style="14" customWidth="1"/>
    <col min="19" max="21" width="22.8515625" style="14" customWidth="1"/>
    <col min="22" max="22" width="16.00390625" style="14" customWidth="1"/>
    <col min="23" max="23" width="13.140625" style="1" customWidth="1"/>
    <col min="24" max="24" width="14.28125" style="1" customWidth="1"/>
    <col min="25" max="25" width="13.8515625" style="1" customWidth="1"/>
    <col min="26" max="26" width="13.57421875" style="1" customWidth="1"/>
    <col min="27" max="27" width="19.421875" style="1" customWidth="1"/>
    <col min="28" max="28" width="11.57421875" style="1" customWidth="1"/>
    <col min="29" max="29" width="10.8515625" style="1" customWidth="1"/>
    <col min="30" max="16384" width="9.140625" style="1" customWidth="1"/>
  </cols>
  <sheetData>
    <row r="1" spans="1:22" ht="15.75">
      <c r="A1" s="38"/>
      <c r="B1" s="38"/>
      <c r="C1" s="38"/>
      <c r="D1" s="38"/>
      <c r="E1" s="38"/>
      <c r="F1" s="125" t="s">
        <v>101</v>
      </c>
      <c r="G1" s="125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8.75">
      <c r="A2" s="39"/>
      <c r="B2" s="39"/>
      <c r="C2" s="39"/>
      <c r="D2" s="126" t="s">
        <v>89</v>
      </c>
      <c r="E2" s="126"/>
      <c r="F2" s="126"/>
      <c r="G2" s="126"/>
      <c r="H2" s="39"/>
      <c r="I2" s="39"/>
      <c r="J2" s="39"/>
      <c r="K2" s="48"/>
      <c r="L2" s="44"/>
      <c r="M2" s="44"/>
      <c r="N2" s="44"/>
      <c r="O2" s="2"/>
      <c r="P2" s="2"/>
      <c r="Q2" s="2"/>
      <c r="R2" s="2"/>
      <c r="S2" s="2"/>
      <c r="T2" s="2"/>
      <c r="U2" s="2"/>
      <c r="V2" s="2"/>
    </row>
    <row r="3" spans="1:29" ht="43.5" customHeight="1">
      <c r="A3" s="131" t="s">
        <v>0</v>
      </c>
      <c r="B3" s="128" t="s">
        <v>63</v>
      </c>
      <c r="C3" s="135" t="s">
        <v>86</v>
      </c>
      <c r="D3" s="136"/>
      <c r="E3" s="136"/>
      <c r="F3" s="136"/>
      <c r="G3" s="136"/>
      <c r="H3" s="122" t="s">
        <v>84</v>
      </c>
      <c r="I3" s="123"/>
      <c r="J3" s="123"/>
      <c r="K3" s="123"/>
      <c r="L3" s="123"/>
      <c r="M3" s="123"/>
      <c r="N3" s="123"/>
      <c r="O3" s="123" t="s">
        <v>86</v>
      </c>
      <c r="P3" s="123"/>
      <c r="Q3" s="123"/>
      <c r="R3" s="123"/>
      <c r="S3" s="123"/>
      <c r="T3" s="123" t="s">
        <v>86</v>
      </c>
      <c r="U3" s="123"/>
      <c r="V3" s="123"/>
      <c r="W3" s="123"/>
      <c r="X3" s="123"/>
      <c r="Y3" s="123"/>
      <c r="Z3" s="123"/>
      <c r="AA3" s="124"/>
      <c r="AB3" s="41"/>
      <c r="AC3" s="41"/>
    </row>
    <row r="4" spans="1:29" ht="27.75" customHeight="1">
      <c r="A4" s="132"/>
      <c r="B4" s="129"/>
      <c r="C4" s="119" t="s">
        <v>46</v>
      </c>
      <c r="D4" s="119"/>
      <c r="E4" s="119"/>
      <c r="F4" s="119"/>
      <c r="G4" s="119"/>
      <c r="H4" s="122" t="s">
        <v>46</v>
      </c>
      <c r="I4" s="123"/>
      <c r="J4" s="123"/>
      <c r="K4" s="123"/>
      <c r="L4" s="123"/>
      <c r="M4" s="123"/>
      <c r="N4" s="123"/>
      <c r="O4" s="123" t="s">
        <v>46</v>
      </c>
      <c r="P4" s="123"/>
      <c r="Q4" s="123"/>
      <c r="R4" s="123"/>
      <c r="S4" s="123"/>
      <c r="T4" s="123" t="s">
        <v>46</v>
      </c>
      <c r="U4" s="123"/>
      <c r="V4" s="123"/>
      <c r="W4" s="123"/>
      <c r="X4" s="123"/>
      <c r="Y4" s="123"/>
      <c r="Z4" s="123"/>
      <c r="AA4" s="124"/>
      <c r="AB4" s="41"/>
      <c r="AC4" s="41"/>
    </row>
    <row r="5" spans="1:27" ht="27.75" customHeight="1">
      <c r="A5" s="132"/>
      <c r="B5" s="129"/>
      <c r="C5" s="122" t="s">
        <v>49</v>
      </c>
      <c r="D5" s="123"/>
      <c r="E5" s="124"/>
      <c r="F5" s="119" t="s">
        <v>67</v>
      </c>
      <c r="G5" s="134" t="s">
        <v>74</v>
      </c>
      <c r="H5" s="134" t="s">
        <v>88</v>
      </c>
      <c r="I5" s="134" t="s">
        <v>104</v>
      </c>
      <c r="J5" s="119" t="s">
        <v>48</v>
      </c>
      <c r="K5" s="119" t="s">
        <v>93</v>
      </c>
      <c r="L5" s="119" t="s">
        <v>54</v>
      </c>
      <c r="M5" s="119" t="s">
        <v>55</v>
      </c>
      <c r="N5" s="119" t="s">
        <v>56</v>
      </c>
      <c r="O5" s="122" t="s">
        <v>49</v>
      </c>
      <c r="P5" s="123"/>
      <c r="Q5" s="124"/>
      <c r="R5" s="119" t="s">
        <v>67</v>
      </c>
      <c r="S5" s="134" t="s">
        <v>74</v>
      </c>
      <c r="T5" s="134" t="s">
        <v>88</v>
      </c>
      <c r="U5" s="134" t="s">
        <v>104</v>
      </c>
      <c r="V5" s="119" t="s">
        <v>48</v>
      </c>
      <c r="W5" s="119" t="s">
        <v>93</v>
      </c>
      <c r="X5" s="136" t="s">
        <v>57</v>
      </c>
      <c r="Y5" s="119" t="s">
        <v>59</v>
      </c>
      <c r="Z5" s="119" t="s">
        <v>58</v>
      </c>
      <c r="AA5" s="119" t="s">
        <v>53</v>
      </c>
    </row>
    <row r="6" spans="1:28" ht="307.5" customHeight="1">
      <c r="A6" s="133"/>
      <c r="B6" s="130"/>
      <c r="C6" s="107" t="s">
        <v>65</v>
      </c>
      <c r="D6" s="106" t="s">
        <v>66</v>
      </c>
      <c r="E6" s="106" t="s">
        <v>64</v>
      </c>
      <c r="F6" s="119"/>
      <c r="G6" s="134"/>
      <c r="H6" s="134"/>
      <c r="I6" s="134"/>
      <c r="J6" s="119"/>
      <c r="K6" s="119"/>
      <c r="L6" s="119"/>
      <c r="M6" s="119"/>
      <c r="N6" s="119"/>
      <c r="O6" s="107" t="s">
        <v>75</v>
      </c>
      <c r="P6" s="106" t="s">
        <v>71</v>
      </c>
      <c r="Q6" s="106" t="s">
        <v>72</v>
      </c>
      <c r="R6" s="119"/>
      <c r="S6" s="134"/>
      <c r="T6" s="134"/>
      <c r="U6" s="134"/>
      <c r="V6" s="119"/>
      <c r="W6" s="119"/>
      <c r="X6" s="121"/>
      <c r="Y6" s="119"/>
      <c r="Z6" s="119"/>
      <c r="AA6" s="119"/>
      <c r="AB6" s="110" t="s">
        <v>94</v>
      </c>
    </row>
    <row r="7" spans="1:28" s="15" customFormat="1" ht="17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  <c r="Y7" s="30">
        <v>25</v>
      </c>
      <c r="Z7" s="30">
        <v>26</v>
      </c>
      <c r="AA7" s="30">
        <v>27</v>
      </c>
      <c r="AB7" s="109"/>
    </row>
    <row r="8" spans="1:30" s="24" customFormat="1" ht="15.75">
      <c r="A8" s="29">
        <v>1</v>
      </c>
      <c r="B8" s="22" t="s">
        <v>1</v>
      </c>
      <c r="C8" s="49"/>
      <c r="D8" s="49"/>
      <c r="E8" s="50"/>
      <c r="F8" s="34">
        <v>8889</v>
      </c>
      <c r="G8" s="31">
        <v>1.402</v>
      </c>
      <c r="H8" s="71">
        <v>0.898</v>
      </c>
      <c r="I8" s="71">
        <f>U8</f>
        <v>1.002</v>
      </c>
      <c r="J8" s="23">
        <v>58</v>
      </c>
      <c r="K8" s="28">
        <v>52.9</v>
      </c>
      <c r="L8" s="28">
        <f>ROUND((C8*F8*G8/1000-C8*K8/100*J8*247/1000)*H8*I8,1)</f>
        <v>0</v>
      </c>
      <c r="M8" s="28">
        <f>ROUND(D8*F8*G8/1000*H8*I8,1)</f>
        <v>0</v>
      </c>
      <c r="N8" s="28">
        <f>ROUND(E8*F8*G8/1000*H8*I8,1)</f>
        <v>0</v>
      </c>
      <c r="O8" s="51">
        <v>89</v>
      </c>
      <c r="P8" s="51"/>
      <c r="Q8" s="51"/>
      <c r="R8" s="34">
        <v>10115</v>
      </c>
      <c r="S8" s="71">
        <v>1.342</v>
      </c>
      <c r="T8" s="31">
        <f>H8</f>
        <v>0.898</v>
      </c>
      <c r="U8" s="71">
        <v>1.002</v>
      </c>
      <c r="V8" s="72">
        <v>58</v>
      </c>
      <c r="W8" s="28">
        <f>K8</f>
        <v>52.9</v>
      </c>
      <c r="X8" s="36">
        <f>ROUND((O8*R8*S8/1000-O8*W8/100*V8*247/1000)*T8*U8,1)-0.2</f>
        <v>480</v>
      </c>
      <c r="Y8" s="36">
        <f>ROUND(P8*R8*S8/1000*T8*U8,1)</f>
        <v>0</v>
      </c>
      <c r="Z8" s="36">
        <f>ROUND(Q8*R8*S8/1000*T8*U8,1)</f>
        <v>0</v>
      </c>
      <c r="AA8" s="36">
        <f aca="true" t="shared" si="0" ref="AA8:AA55">L8+M8+N8+X8+Y8+Z8</f>
        <v>480</v>
      </c>
      <c r="AB8" s="74">
        <v>480</v>
      </c>
      <c r="AC8" s="24">
        <f>AB8-AA8</f>
        <v>0</v>
      </c>
      <c r="AD8" s="112">
        <f>ROUND(AB8/AA8,3)</f>
        <v>1</v>
      </c>
    </row>
    <row r="9" spans="1:30" s="24" customFormat="1" ht="15.75">
      <c r="A9" s="29">
        <v>2</v>
      </c>
      <c r="B9" s="22" t="s">
        <v>90</v>
      </c>
      <c r="C9" s="49">
        <v>107</v>
      </c>
      <c r="D9" s="49"/>
      <c r="E9" s="50">
        <v>1</v>
      </c>
      <c r="F9" s="34">
        <v>8889</v>
      </c>
      <c r="G9" s="31">
        <v>1.402</v>
      </c>
      <c r="H9" s="71">
        <v>1</v>
      </c>
      <c r="I9" s="71">
        <f aca="true" t="shared" si="1" ref="I9:I55">U9</f>
        <v>1.135</v>
      </c>
      <c r="J9" s="23">
        <v>58</v>
      </c>
      <c r="K9" s="28">
        <v>52.9</v>
      </c>
      <c r="L9" s="28">
        <f aca="true" t="shared" si="2" ref="L9:L55">ROUND((C9*F9*G9/1000-C9*K9/100*J9*247/1000)*H9*I9,1)</f>
        <v>593.1</v>
      </c>
      <c r="M9" s="28">
        <f aca="true" t="shared" si="3" ref="M9:M55">ROUND(D9*F9*G9/1000*H9*I9,1)</f>
        <v>0</v>
      </c>
      <c r="N9" s="28">
        <f aca="true" t="shared" si="4" ref="N9:N55">ROUND(E9*F9*G9/1000*H9*I9,1)</f>
        <v>14.1</v>
      </c>
      <c r="O9" s="51">
        <v>84</v>
      </c>
      <c r="P9" s="51">
        <v>6</v>
      </c>
      <c r="Q9" s="51">
        <v>10</v>
      </c>
      <c r="R9" s="34">
        <v>10115</v>
      </c>
      <c r="S9" s="71">
        <v>1.342</v>
      </c>
      <c r="T9" s="31">
        <f aca="true" t="shared" si="5" ref="T9:T55">H9</f>
        <v>1</v>
      </c>
      <c r="U9" s="71">
        <v>1.135</v>
      </c>
      <c r="V9" s="72">
        <v>58</v>
      </c>
      <c r="W9" s="28">
        <f aca="true" t="shared" si="6" ref="W9:W55">K9</f>
        <v>52.9</v>
      </c>
      <c r="X9" s="36">
        <f>ROUND((O9*R9*S9/1000-O9*W9/100*V9*247/1000)*T9*U9,1)+0.4</f>
        <v>572</v>
      </c>
      <c r="Y9" s="36">
        <f aca="true" t="shared" si="7" ref="Y9:Y55">ROUND(P9*R9*S9/1000*T9*U9,1)</f>
        <v>92.4</v>
      </c>
      <c r="Z9" s="36">
        <f aca="true" t="shared" si="8" ref="Z9:Z55">ROUND(Q9*R9*S9/1000*T9*U9,1)</f>
        <v>154.1</v>
      </c>
      <c r="AA9" s="36">
        <f t="shared" si="0"/>
        <v>1425.7</v>
      </c>
      <c r="AB9" s="74">
        <v>1425.7</v>
      </c>
      <c r="AC9" s="24">
        <f aca="true" t="shared" si="9" ref="AC9:AC55">AB9-AA9</f>
        <v>0</v>
      </c>
      <c r="AD9" s="112">
        <f aca="true" t="shared" si="10" ref="AD9:AD55">ROUND(AB9/AA9,3)</f>
        <v>1</v>
      </c>
    </row>
    <row r="10" spans="1:30" s="24" customFormat="1" ht="15.75">
      <c r="A10" s="29">
        <v>3</v>
      </c>
      <c r="B10" s="22" t="s">
        <v>2</v>
      </c>
      <c r="C10" s="52">
        <v>32</v>
      </c>
      <c r="D10" s="52"/>
      <c r="E10" s="53"/>
      <c r="F10" s="34">
        <v>8889</v>
      </c>
      <c r="G10" s="31">
        <v>1.402</v>
      </c>
      <c r="H10" s="71">
        <v>1.063</v>
      </c>
      <c r="I10" s="71">
        <f t="shared" si="1"/>
        <v>1.096</v>
      </c>
      <c r="J10" s="23">
        <v>58</v>
      </c>
      <c r="K10" s="28">
        <v>52.9</v>
      </c>
      <c r="L10" s="28">
        <f t="shared" si="2"/>
        <v>182.1</v>
      </c>
      <c r="M10" s="28">
        <f t="shared" si="3"/>
        <v>0</v>
      </c>
      <c r="N10" s="28">
        <f t="shared" si="4"/>
        <v>0</v>
      </c>
      <c r="O10" s="54">
        <v>73</v>
      </c>
      <c r="P10" s="54"/>
      <c r="Q10" s="54"/>
      <c r="R10" s="34">
        <v>10115</v>
      </c>
      <c r="S10" s="71">
        <v>1.342</v>
      </c>
      <c r="T10" s="31">
        <f t="shared" si="5"/>
        <v>1.063</v>
      </c>
      <c r="U10" s="71">
        <v>1.096</v>
      </c>
      <c r="V10" s="72">
        <v>58</v>
      </c>
      <c r="W10" s="28">
        <f t="shared" si="6"/>
        <v>52.9</v>
      </c>
      <c r="X10" s="36">
        <f aca="true" t="shared" si="11" ref="X10:X55">ROUND((O10*R10*S10/1000-O10*W10/100*V10*247/1000)*T10*U10,1)</f>
        <v>509.9</v>
      </c>
      <c r="Y10" s="36">
        <f t="shared" si="7"/>
        <v>0</v>
      </c>
      <c r="Z10" s="36">
        <f t="shared" si="8"/>
        <v>0</v>
      </c>
      <c r="AA10" s="36">
        <f t="shared" si="0"/>
        <v>692</v>
      </c>
      <c r="AB10" s="74">
        <v>692</v>
      </c>
      <c r="AC10" s="24">
        <f t="shared" si="9"/>
        <v>0</v>
      </c>
      <c r="AD10" s="112">
        <f t="shared" si="10"/>
        <v>1</v>
      </c>
    </row>
    <row r="11" spans="1:30" s="24" customFormat="1" ht="15.75">
      <c r="A11" s="29">
        <v>4</v>
      </c>
      <c r="B11" s="22" t="s">
        <v>91</v>
      </c>
      <c r="C11" s="52">
        <v>83</v>
      </c>
      <c r="D11" s="52"/>
      <c r="E11" s="53"/>
      <c r="F11" s="34">
        <v>8889</v>
      </c>
      <c r="G11" s="31">
        <v>1.402</v>
      </c>
      <c r="H11" s="71">
        <v>1</v>
      </c>
      <c r="I11" s="71">
        <f t="shared" si="1"/>
        <v>1.048</v>
      </c>
      <c r="J11" s="23">
        <v>58</v>
      </c>
      <c r="K11" s="28">
        <v>52.9</v>
      </c>
      <c r="L11" s="28">
        <f t="shared" si="2"/>
        <v>424.8</v>
      </c>
      <c r="M11" s="28">
        <f t="shared" si="3"/>
        <v>0</v>
      </c>
      <c r="N11" s="28">
        <f t="shared" si="4"/>
        <v>0</v>
      </c>
      <c r="O11" s="54">
        <v>36</v>
      </c>
      <c r="P11" s="54">
        <v>1</v>
      </c>
      <c r="Q11" s="54"/>
      <c r="R11" s="34">
        <v>10115</v>
      </c>
      <c r="S11" s="71">
        <v>1.342</v>
      </c>
      <c r="T11" s="31">
        <f t="shared" si="5"/>
        <v>1</v>
      </c>
      <c r="U11" s="71">
        <v>1.048</v>
      </c>
      <c r="V11" s="72">
        <v>58</v>
      </c>
      <c r="W11" s="28">
        <f t="shared" si="6"/>
        <v>52.9</v>
      </c>
      <c r="X11" s="36">
        <f>ROUND((O11*R11*S11/1000-O11*W11/100*V11*247/1000)*T11*U11,1)+0.1</f>
        <v>226.29999999999998</v>
      </c>
      <c r="Y11" s="36">
        <f t="shared" si="7"/>
        <v>14.2</v>
      </c>
      <c r="Z11" s="36">
        <f t="shared" si="8"/>
        <v>0</v>
      </c>
      <c r="AA11" s="36">
        <f t="shared" si="0"/>
        <v>665.3000000000001</v>
      </c>
      <c r="AB11" s="74">
        <v>665.3</v>
      </c>
      <c r="AC11" s="24">
        <f t="shared" si="9"/>
        <v>0</v>
      </c>
      <c r="AD11" s="112">
        <f t="shared" si="10"/>
        <v>1</v>
      </c>
    </row>
    <row r="12" spans="1:30" s="24" customFormat="1" ht="15.75">
      <c r="A12" s="29">
        <v>5</v>
      </c>
      <c r="B12" s="22" t="s">
        <v>92</v>
      </c>
      <c r="C12" s="52">
        <v>44</v>
      </c>
      <c r="D12" s="52">
        <v>1</v>
      </c>
      <c r="E12" s="53"/>
      <c r="F12" s="34">
        <v>8889</v>
      </c>
      <c r="G12" s="31">
        <v>1.402</v>
      </c>
      <c r="H12" s="71">
        <v>1</v>
      </c>
      <c r="I12" s="71">
        <f t="shared" si="1"/>
        <v>0.69</v>
      </c>
      <c r="J12" s="23">
        <v>58</v>
      </c>
      <c r="K12" s="28">
        <v>52.9</v>
      </c>
      <c r="L12" s="28">
        <f t="shared" si="2"/>
        <v>148.3</v>
      </c>
      <c r="M12" s="28">
        <f t="shared" si="3"/>
        <v>8.6</v>
      </c>
      <c r="N12" s="28">
        <f t="shared" si="4"/>
        <v>0</v>
      </c>
      <c r="O12" s="54">
        <v>75</v>
      </c>
      <c r="P12" s="54"/>
      <c r="Q12" s="54"/>
      <c r="R12" s="34">
        <v>10115</v>
      </c>
      <c r="S12" s="71">
        <v>1.342</v>
      </c>
      <c r="T12" s="31">
        <f t="shared" si="5"/>
        <v>1</v>
      </c>
      <c r="U12" s="71">
        <v>0.69</v>
      </c>
      <c r="V12" s="72">
        <v>58</v>
      </c>
      <c r="W12" s="28">
        <f t="shared" si="6"/>
        <v>52.9</v>
      </c>
      <c r="X12" s="36">
        <f>ROUND((O12*R12*S12/1000-O12*W12/100*V12*247/1000)*T12*U12,1)+0.2</f>
        <v>310.5</v>
      </c>
      <c r="Y12" s="36">
        <f t="shared" si="7"/>
        <v>0</v>
      </c>
      <c r="Z12" s="36">
        <f t="shared" si="8"/>
        <v>0</v>
      </c>
      <c r="AA12" s="36">
        <f t="shared" si="0"/>
        <v>467.4</v>
      </c>
      <c r="AB12" s="74">
        <v>467.4</v>
      </c>
      <c r="AC12" s="24">
        <f t="shared" si="9"/>
        <v>0</v>
      </c>
      <c r="AD12" s="112">
        <f t="shared" si="10"/>
        <v>1</v>
      </c>
    </row>
    <row r="13" spans="1:30" s="24" customFormat="1" ht="15.75">
      <c r="A13" s="29">
        <v>6</v>
      </c>
      <c r="B13" s="22" t="s">
        <v>3</v>
      </c>
      <c r="C13" s="52">
        <v>39</v>
      </c>
      <c r="D13" s="52"/>
      <c r="E13" s="53">
        <v>1</v>
      </c>
      <c r="F13" s="34">
        <v>8889</v>
      </c>
      <c r="G13" s="31">
        <v>1.402</v>
      </c>
      <c r="H13" s="71">
        <v>1.078</v>
      </c>
      <c r="I13" s="71">
        <f t="shared" si="1"/>
        <v>0.833</v>
      </c>
      <c r="J13" s="23">
        <v>58</v>
      </c>
      <c r="K13" s="28">
        <v>52.9</v>
      </c>
      <c r="L13" s="28">
        <f t="shared" si="2"/>
        <v>171</v>
      </c>
      <c r="M13" s="28">
        <f t="shared" si="3"/>
        <v>0</v>
      </c>
      <c r="N13" s="28">
        <f t="shared" si="4"/>
        <v>11.2</v>
      </c>
      <c r="O13" s="54">
        <v>94</v>
      </c>
      <c r="P13" s="54">
        <v>1</v>
      </c>
      <c r="Q13" s="54"/>
      <c r="R13" s="34">
        <v>10115</v>
      </c>
      <c r="S13" s="71">
        <v>1.342</v>
      </c>
      <c r="T13" s="31">
        <f t="shared" si="5"/>
        <v>1.078</v>
      </c>
      <c r="U13" s="71">
        <v>0.833</v>
      </c>
      <c r="V13" s="72">
        <v>58</v>
      </c>
      <c r="W13" s="28">
        <f t="shared" si="6"/>
        <v>52.9</v>
      </c>
      <c r="X13" s="36">
        <f t="shared" si="11"/>
        <v>506.1</v>
      </c>
      <c r="Y13" s="36">
        <f t="shared" si="7"/>
        <v>12.2</v>
      </c>
      <c r="Z13" s="36">
        <f t="shared" si="8"/>
        <v>0</v>
      </c>
      <c r="AA13" s="36">
        <f t="shared" si="0"/>
        <v>700.5</v>
      </c>
      <c r="AB13" s="74">
        <v>700.5</v>
      </c>
      <c r="AC13" s="24">
        <f t="shared" si="9"/>
        <v>0</v>
      </c>
      <c r="AD13" s="112">
        <f t="shared" si="10"/>
        <v>1</v>
      </c>
    </row>
    <row r="14" spans="1:30" s="24" customFormat="1" ht="15.75">
      <c r="A14" s="29">
        <v>7</v>
      </c>
      <c r="B14" s="22" t="s">
        <v>4</v>
      </c>
      <c r="C14" s="52">
        <v>41</v>
      </c>
      <c r="D14" s="55"/>
      <c r="E14" s="53"/>
      <c r="F14" s="34">
        <v>8889</v>
      </c>
      <c r="G14" s="31">
        <v>1.402</v>
      </c>
      <c r="H14" s="71">
        <v>1.12</v>
      </c>
      <c r="I14" s="71">
        <f t="shared" si="1"/>
        <v>0.968</v>
      </c>
      <c r="J14" s="23">
        <v>58</v>
      </c>
      <c r="K14" s="28">
        <v>52.9</v>
      </c>
      <c r="L14" s="28">
        <f t="shared" si="2"/>
        <v>217.1</v>
      </c>
      <c r="M14" s="28">
        <f t="shared" si="3"/>
        <v>0</v>
      </c>
      <c r="N14" s="28">
        <f t="shared" si="4"/>
        <v>0</v>
      </c>
      <c r="O14" s="54">
        <v>188</v>
      </c>
      <c r="P14" s="54">
        <v>2</v>
      </c>
      <c r="Q14" s="54">
        <v>4</v>
      </c>
      <c r="R14" s="34">
        <v>10115</v>
      </c>
      <c r="S14" s="71">
        <v>1.342</v>
      </c>
      <c r="T14" s="31">
        <f t="shared" si="5"/>
        <v>1.12</v>
      </c>
      <c r="U14" s="71">
        <v>0.968</v>
      </c>
      <c r="V14" s="72">
        <v>58</v>
      </c>
      <c r="W14" s="28">
        <f t="shared" si="6"/>
        <v>52.9</v>
      </c>
      <c r="X14" s="36">
        <f>ROUND((O14*R14*S14/1000-O14*W14/100*V14*247/1000)*T14*U14,1)-0.3</f>
        <v>1221.8</v>
      </c>
      <c r="Y14" s="36">
        <f t="shared" si="7"/>
        <v>29.4</v>
      </c>
      <c r="Z14" s="36">
        <f t="shared" si="8"/>
        <v>58.9</v>
      </c>
      <c r="AA14" s="36">
        <f t="shared" si="0"/>
        <v>1527.2</v>
      </c>
      <c r="AB14" s="74">
        <v>1527.2</v>
      </c>
      <c r="AC14" s="24">
        <f t="shared" si="9"/>
        <v>0</v>
      </c>
      <c r="AD14" s="112">
        <f t="shared" si="10"/>
        <v>1</v>
      </c>
    </row>
    <row r="15" spans="1:30" s="24" customFormat="1" ht="15.75">
      <c r="A15" s="29">
        <v>8</v>
      </c>
      <c r="B15" s="22" t="s">
        <v>5</v>
      </c>
      <c r="C15" s="52">
        <v>23</v>
      </c>
      <c r="D15" s="52"/>
      <c r="E15" s="53"/>
      <c r="F15" s="34">
        <v>8889</v>
      </c>
      <c r="G15" s="31">
        <v>1.402</v>
      </c>
      <c r="H15" s="71">
        <v>1.004</v>
      </c>
      <c r="I15" s="71">
        <f t="shared" si="1"/>
        <v>1.194</v>
      </c>
      <c r="J15" s="23">
        <v>58</v>
      </c>
      <c r="K15" s="28">
        <v>52.9</v>
      </c>
      <c r="L15" s="28">
        <f t="shared" si="2"/>
        <v>134.7</v>
      </c>
      <c r="M15" s="28">
        <f t="shared" si="3"/>
        <v>0</v>
      </c>
      <c r="N15" s="28">
        <f t="shared" si="4"/>
        <v>0</v>
      </c>
      <c r="O15" s="54">
        <v>192</v>
      </c>
      <c r="P15" s="54">
        <v>1</v>
      </c>
      <c r="Q15" s="54">
        <v>2</v>
      </c>
      <c r="R15" s="34">
        <v>10115</v>
      </c>
      <c r="S15" s="71">
        <v>1.342</v>
      </c>
      <c r="T15" s="31">
        <f t="shared" si="5"/>
        <v>1.004</v>
      </c>
      <c r="U15" s="71">
        <v>1.194</v>
      </c>
      <c r="V15" s="72">
        <v>58</v>
      </c>
      <c r="W15" s="28">
        <f t="shared" si="6"/>
        <v>52.9</v>
      </c>
      <c r="X15" s="36">
        <f>ROUND((O15*R15*S15/1000-O15*W15/100*V15*247/1000)*T15*U15,1)+0.6</f>
        <v>1380.6</v>
      </c>
      <c r="Y15" s="36">
        <f t="shared" si="7"/>
        <v>16.3</v>
      </c>
      <c r="Z15" s="36">
        <f t="shared" si="8"/>
        <v>32.5</v>
      </c>
      <c r="AA15" s="36">
        <f t="shared" si="0"/>
        <v>1564.1</v>
      </c>
      <c r="AB15" s="74">
        <v>1564.1</v>
      </c>
      <c r="AC15" s="24">
        <f t="shared" si="9"/>
        <v>0</v>
      </c>
      <c r="AD15" s="112">
        <f t="shared" si="10"/>
        <v>1</v>
      </c>
    </row>
    <row r="16" spans="1:30" s="24" customFormat="1" ht="15.75">
      <c r="A16" s="29">
        <v>9</v>
      </c>
      <c r="B16" s="22" t="s">
        <v>6</v>
      </c>
      <c r="C16" s="52"/>
      <c r="D16" s="52"/>
      <c r="E16" s="53"/>
      <c r="F16" s="34">
        <v>8889</v>
      </c>
      <c r="G16" s="31">
        <v>1.402</v>
      </c>
      <c r="H16" s="71">
        <v>0.873</v>
      </c>
      <c r="I16" s="71">
        <f t="shared" si="1"/>
        <v>1.124</v>
      </c>
      <c r="J16" s="23">
        <v>58</v>
      </c>
      <c r="K16" s="28">
        <v>52.9</v>
      </c>
      <c r="L16" s="28">
        <f t="shared" si="2"/>
        <v>0</v>
      </c>
      <c r="M16" s="28">
        <f t="shared" si="3"/>
        <v>0</v>
      </c>
      <c r="N16" s="28">
        <f t="shared" si="4"/>
        <v>0</v>
      </c>
      <c r="O16" s="54">
        <v>111</v>
      </c>
      <c r="P16" s="54">
        <v>1</v>
      </c>
      <c r="Q16" s="54"/>
      <c r="R16" s="34">
        <v>10115</v>
      </c>
      <c r="S16" s="71">
        <v>1.342</v>
      </c>
      <c r="T16" s="31">
        <f t="shared" si="5"/>
        <v>0.873</v>
      </c>
      <c r="U16" s="71">
        <v>1.124</v>
      </c>
      <c r="V16" s="72">
        <v>58</v>
      </c>
      <c r="W16" s="28">
        <f t="shared" si="6"/>
        <v>52.9</v>
      </c>
      <c r="X16" s="36">
        <f t="shared" si="11"/>
        <v>653.1</v>
      </c>
      <c r="Y16" s="36">
        <f t="shared" si="7"/>
        <v>13.3</v>
      </c>
      <c r="Z16" s="36">
        <f t="shared" si="8"/>
        <v>0</v>
      </c>
      <c r="AA16" s="36">
        <f t="shared" si="0"/>
        <v>666.4</v>
      </c>
      <c r="AB16" s="74">
        <v>666.4</v>
      </c>
      <c r="AC16" s="24">
        <f t="shared" si="9"/>
        <v>0</v>
      </c>
      <c r="AD16" s="112">
        <f t="shared" si="10"/>
        <v>1</v>
      </c>
    </row>
    <row r="17" spans="1:30" s="24" customFormat="1" ht="15.75">
      <c r="A17" s="29">
        <v>10</v>
      </c>
      <c r="B17" s="22" t="s">
        <v>7</v>
      </c>
      <c r="C17" s="56">
        <v>26</v>
      </c>
      <c r="D17" s="56"/>
      <c r="E17" s="57"/>
      <c r="F17" s="34">
        <v>8889</v>
      </c>
      <c r="G17" s="31">
        <v>1.402</v>
      </c>
      <c r="H17" s="71">
        <v>1.137</v>
      </c>
      <c r="I17" s="71">
        <f t="shared" si="1"/>
        <v>0.737</v>
      </c>
      <c r="J17" s="23">
        <v>58</v>
      </c>
      <c r="K17" s="28">
        <v>52.9</v>
      </c>
      <c r="L17" s="28">
        <f t="shared" si="2"/>
        <v>106.4</v>
      </c>
      <c r="M17" s="28">
        <f t="shared" si="3"/>
        <v>0</v>
      </c>
      <c r="N17" s="28">
        <f t="shared" si="4"/>
        <v>0</v>
      </c>
      <c r="O17" s="54">
        <v>228</v>
      </c>
      <c r="P17" s="54">
        <v>1</v>
      </c>
      <c r="Q17" s="54"/>
      <c r="R17" s="34">
        <v>10115</v>
      </c>
      <c r="S17" s="71">
        <v>1.342</v>
      </c>
      <c r="T17" s="31">
        <f t="shared" si="5"/>
        <v>1.137</v>
      </c>
      <c r="U17" s="71">
        <v>0.737</v>
      </c>
      <c r="V17" s="72">
        <v>58</v>
      </c>
      <c r="W17" s="28">
        <f t="shared" si="6"/>
        <v>52.9</v>
      </c>
      <c r="X17" s="36">
        <f>ROUND((O17*R17*S17/1000-O17*W17/100*V17*247/1000)*T17*U17,1)+0.1</f>
        <v>1145.6999999999998</v>
      </c>
      <c r="Y17" s="36">
        <f t="shared" si="7"/>
        <v>11.4</v>
      </c>
      <c r="Z17" s="36">
        <f t="shared" si="8"/>
        <v>0</v>
      </c>
      <c r="AA17" s="36">
        <f t="shared" si="0"/>
        <v>1263.5</v>
      </c>
      <c r="AB17" s="74">
        <v>1263.5</v>
      </c>
      <c r="AC17" s="24">
        <f t="shared" si="9"/>
        <v>0</v>
      </c>
      <c r="AD17" s="112">
        <f t="shared" si="10"/>
        <v>1</v>
      </c>
    </row>
    <row r="18" spans="1:30" s="24" customFormat="1" ht="15.75">
      <c r="A18" s="29">
        <v>11</v>
      </c>
      <c r="B18" s="22" t="s">
        <v>8</v>
      </c>
      <c r="C18" s="52">
        <v>40</v>
      </c>
      <c r="D18" s="52"/>
      <c r="E18" s="53"/>
      <c r="F18" s="34">
        <v>8889</v>
      </c>
      <c r="G18" s="31">
        <v>1.402</v>
      </c>
      <c r="H18" s="71">
        <v>1.025</v>
      </c>
      <c r="I18" s="71">
        <f t="shared" si="1"/>
        <v>0.872</v>
      </c>
      <c r="J18" s="23">
        <v>58</v>
      </c>
      <c r="K18" s="28">
        <v>52.9</v>
      </c>
      <c r="L18" s="28">
        <f t="shared" si="2"/>
        <v>174.6</v>
      </c>
      <c r="M18" s="28">
        <f t="shared" si="3"/>
        <v>0</v>
      </c>
      <c r="N18" s="28">
        <f t="shared" si="4"/>
        <v>0</v>
      </c>
      <c r="O18" s="54">
        <v>230</v>
      </c>
      <c r="P18" s="54"/>
      <c r="Q18" s="54"/>
      <c r="R18" s="34">
        <v>10115</v>
      </c>
      <c r="S18" s="71">
        <v>1.342</v>
      </c>
      <c r="T18" s="31">
        <f t="shared" si="5"/>
        <v>1.025</v>
      </c>
      <c r="U18" s="71">
        <v>0.872</v>
      </c>
      <c r="V18" s="72">
        <v>58</v>
      </c>
      <c r="W18" s="28">
        <f t="shared" si="6"/>
        <v>52.9</v>
      </c>
      <c r="X18" s="36">
        <f>ROUND((O18*R18*S18/1000-O18*W18/100*V18*247/1000)*T18*U18,1)-0.7</f>
        <v>1231.8999999999999</v>
      </c>
      <c r="Y18" s="36">
        <f t="shared" si="7"/>
        <v>0</v>
      </c>
      <c r="Z18" s="36">
        <f t="shared" si="8"/>
        <v>0</v>
      </c>
      <c r="AA18" s="36">
        <f t="shared" si="0"/>
        <v>1406.4999999999998</v>
      </c>
      <c r="AB18" s="74">
        <v>1406.5</v>
      </c>
      <c r="AC18" s="24">
        <f t="shared" si="9"/>
        <v>0</v>
      </c>
      <c r="AD18" s="112">
        <f t="shared" si="10"/>
        <v>1</v>
      </c>
    </row>
    <row r="19" spans="1:30" s="24" customFormat="1" ht="15.75">
      <c r="A19" s="29">
        <v>12</v>
      </c>
      <c r="B19" s="22" t="s">
        <v>9</v>
      </c>
      <c r="C19" s="52">
        <v>21</v>
      </c>
      <c r="D19" s="52"/>
      <c r="E19" s="53"/>
      <c r="F19" s="34">
        <v>8889</v>
      </c>
      <c r="G19" s="31">
        <v>1.402</v>
      </c>
      <c r="H19" s="71">
        <v>1.101</v>
      </c>
      <c r="I19" s="71">
        <f t="shared" si="1"/>
        <v>0.938</v>
      </c>
      <c r="J19" s="23">
        <v>58</v>
      </c>
      <c r="K19" s="28">
        <v>52.9</v>
      </c>
      <c r="L19" s="28">
        <f t="shared" si="2"/>
        <v>105.9</v>
      </c>
      <c r="M19" s="28">
        <f t="shared" si="3"/>
        <v>0</v>
      </c>
      <c r="N19" s="28">
        <f t="shared" si="4"/>
        <v>0</v>
      </c>
      <c r="O19" s="54">
        <v>184</v>
      </c>
      <c r="P19" s="54">
        <v>1</v>
      </c>
      <c r="Q19" s="54"/>
      <c r="R19" s="34">
        <v>10115</v>
      </c>
      <c r="S19" s="71">
        <v>1.342</v>
      </c>
      <c r="T19" s="31">
        <f t="shared" si="5"/>
        <v>1.101</v>
      </c>
      <c r="U19" s="71">
        <v>0.938</v>
      </c>
      <c r="V19" s="72">
        <v>58</v>
      </c>
      <c r="W19" s="28">
        <f t="shared" si="6"/>
        <v>52.9</v>
      </c>
      <c r="X19" s="36">
        <f>ROUND((O19*R19*S19/1000-O19*W19/100*V19*247/1000)*T19*U19,1)-0.6</f>
        <v>1138.8000000000002</v>
      </c>
      <c r="Y19" s="36">
        <f t="shared" si="7"/>
        <v>14</v>
      </c>
      <c r="Z19" s="36">
        <f t="shared" si="8"/>
        <v>0</v>
      </c>
      <c r="AA19" s="36">
        <f t="shared" si="0"/>
        <v>1258.7000000000003</v>
      </c>
      <c r="AB19" s="74">
        <v>1258.7</v>
      </c>
      <c r="AC19" s="24">
        <f t="shared" si="9"/>
        <v>0</v>
      </c>
      <c r="AD19" s="112">
        <f t="shared" si="10"/>
        <v>1</v>
      </c>
    </row>
    <row r="20" spans="1:30" s="24" customFormat="1" ht="15.75">
      <c r="A20" s="29">
        <v>13</v>
      </c>
      <c r="B20" s="22" t="s">
        <v>10</v>
      </c>
      <c r="C20" s="52">
        <v>39</v>
      </c>
      <c r="D20" s="52"/>
      <c r="E20" s="53"/>
      <c r="F20" s="34">
        <v>8889</v>
      </c>
      <c r="G20" s="31">
        <v>1.402</v>
      </c>
      <c r="H20" s="71">
        <v>1.051</v>
      </c>
      <c r="I20" s="71">
        <f t="shared" si="1"/>
        <v>1.057</v>
      </c>
      <c r="J20" s="23">
        <v>58</v>
      </c>
      <c r="K20" s="28">
        <v>52.9</v>
      </c>
      <c r="L20" s="28">
        <f t="shared" si="2"/>
        <v>211.6</v>
      </c>
      <c r="M20" s="28">
        <f t="shared" si="3"/>
        <v>0</v>
      </c>
      <c r="N20" s="28">
        <f t="shared" si="4"/>
        <v>0</v>
      </c>
      <c r="O20" s="54">
        <v>176</v>
      </c>
      <c r="P20" s="54"/>
      <c r="Q20" s="54"/>
      <c r="R20" s="34">
        <v>10115</v>
      </c>
      <c r="S20" s="71">
        <v>1.342</v>
      </c>
      <c r="T20" s="31">
        <f t="shared" si="5"/>
        <v>1.051</v>
      </c>
      <c r="U20" s="71">
        <v>1.057</v>
      </c>
      <c r="V20" s="72">
        <v>58</v>
      </c>
      <c r="W20" s="28">
        <f t="shared" si="6"/>
        <v>52.9</v>
      </c>
      <c r="X20" s="36">
        <f>ROUND((O20*R20*S20/1000-O20*W20/100*V20*247/1000)*T20*U20,1)+0.5</f>
        <v>1172.8</v>
      </c>
      <c r="Y20" s="36">
        <f t="shared" si="7"/>
        <v>0</v>
      </c>
      <c r="Z20" s="36">
        <f t="shared" si="8"/>
        <v>0</v>
      </c>
      <c r="AA20" s="36">
        <f t="shared" si="0"/>
        <v>1384.3999999999999</v>
      </c>
      <c r="AB20" s="74">
        <v>1384.4</v>
      </c>
      <c r="AC20" s="24">
        <f t="shared" si="9"/>
        <v>0</v>
      </c>
      <c r="AD20" s="112">
        <f t="shared" si="10"/>
        <v>1</v>
      </c>
    </row>
    <row r="21" spans="1:30" s="24" customFormat="1" ht="15.75">
      <c r="A21" s="29">
        <v>14</v>
      </c>
      <c r="B21" s="25" t="s">
        <v>11</v>
      </c>
      <c r="C21" s="58">
        <v>24</v>
      </c>
      <c r="D21" s="58"/>
      <c r="E21" s="59"/>
      <c r="F21" s="34">
        <v>8889</v>
      </c>
      <c r="G21" s="31">
        <v>1.402</v>
      </c>
      <c r="H21" s="71">
        <v>1.164</v>
      </c>
      <c r="I21" s="71">
        <f t="shared" si="1"/>
        <v>0.832</v>
      </c>
      <c r="J21" s="23">
        <v>58</v>
      </c>
      <c r="K21" s="28">
        <v>52.9</v>
      </c>
      <c r="L21" s="28">
        <f t="shared" si="2"/>
        <v>113.5</v>
      </c>
      <c r="M21" s="28">
        <f t="shared" si="3"/>
        <v>0</v>
      </c>
      <c r="N21" s="28">
        <f t="shared" si="4"/>
        <v>0</v>
      </c>
      <c r="O21" s="60">
        <v>60</v>
      </c>
      <c r="P21" s="60">
        <v>2</v>
      </c>
      <c r="Q21" s="60">
        <v>1</v>
      </c>
      <c r="R21" s="34">
        <v>10115</v>
      </c>
      <c r="S21" s="71">
        <v>1.342</v>
      </c>
      <c r="T21" s="31">
        <f t="shared" si="5"/>
        <v>1.164</v>
      </c>
      <c r="U21" s="71">
        <v>0.832</v>
      </c>
      <c r="V21" s="72">
        <v>58</v>
      </c>
      <c r="W21" s="28">
        <f t="shared" si="6"/>
        <v>52.9</v>
      </c>
      <c r="X21" s="36">
        <f t="shared" si="11"/>
        <v>348.4</v>
      </c>
      <c r="Y21" s="36">
        <f t="shared" si="7"/>
        <v>26.3</v>
      </c>
      <c r="Z21" s="36">
        <f t="shared" si="8"/>
        <v>13.1</v>
      </c>
      <c r="AA21" s="36">
        <f t="shared" si="0"/>
        <v>501.3</v>
      </c>
      <c r="AB21" s="74">
        <v>501.3</v>
      </c>
      <c r="AC21" s="24">
        <f t="shared" si="9"/>
        <v>0</v>
      </c>
      <c r="AD21" s="112">
        <f t="shared" si="10"/>
        <v>1</v>
      </c>
    </row>
    <row r="22" spans="1:30" s="24" customFormat="1" ht="15.75">
      <c r="A22" s="29">
        <v>15</v>
      </c>
      <c r="B22" s="22" t="s">
        <v>25</v>
      </c>
      <c r="C22" s="52"/>
      <c r="D22" s="52"/>
      <c r="E22" s="53"/>
      <c r="F22" s="34">
        <v>8889</v>
      </c>
      <c r="G22" s="31">
        <v>1</v>
      </c>
      <c r="H22" s="71">
        <v>0.731</v>
      </c>
      <c r="I22" s="71">
        <f t="shared" si="1"/>
        <v>1.151</v>
      </c>
      <c r="J22" s="23">
        <v>48</v>
      </c>
      <c r="K22" s="28">
        <v>52.9</v>
      </c>
      <c r="L22" s="28">
        <f t="shared" si="2"/>
        <v>0</v>
      </c>
      <c r="M22" s="28">
        <f t="shared" si="3"/>
        <v>0</v>
      </c>
      <c r="N22" s="28">
        <f t="shared" si="4"/>
        <v>0</v>
      </c>
      <c r="O22" s="54">
        <v>29</v>
      </c>
      <c r="P22" s="54"/>
      <c r="Q22" s="54">
        <v>1</v>
      </c>
      <c r="R22" s="34">
        <v>10115</v>
      </c>
      <c r="S22" s="71">
        <v>1</v>
      </c>
      <c r="T22" s="31">
        <f t="shared" si="5"/>
        <v>0.731</v>
      </c>
      <c r="U22" s="71">
        <v>1.151</v>
      </c>
      <c r="V22" s="72">
        <v>48</v>
      </c>
      <c r="W22" s="28">
        <f t="shared" si="6"/>
        <v>52.9</v>
      </c>
      <c r="X22" s="36">
        <f t="shared" si="11"/>
        <v>93.8</v>
      </c>
      <c r="Y22" s="36">
        <f t="shared" si="7"/>
        <v>0</v>
      </c>
      <c r="Z22" s="36">
        <f t="shared" si="8"/>
        <v>8.5</v>
      </c>
      <c r="AA22" s="36">
        <f t="shared" si="0"/>
        <v>102.3</v>
      </c>
      <c r="AB22" s="74">
        <v>102.3</v>
      </c>
      <c r="AC22" s="24">
        <f t="shared" si="9"/>
        <v>0</v>
      </c>
      <c r="AD22" s="112">
        <f t="shared" si="10"/>
        <v>1</v>
      </c>
    </row>
    <row r="23" spans="1:30" s="24" customFormat="1" ht="15.75">
      <c r="A23" s="29">
        <v>16</v>
      </c>
      <c r="B23" s="22" t="s">
        <v>24</v>
      </c>
      <c r="C23" s="56"/>
      <c r="D23" s="56"/>
      <c r="E23" s="57"/>
      <c r="F23" s="34">
        <v>8889</v>
      </c>
      <c r="G23" s="31">
        <v>1</v>
      </c>
      <c r="H23" s="71">
        <v>0.989</v>
      </c>
      <c r="I23" s="71">
        <f t="shared" si="1"/>
        <v>1.322</v>
      </c>
      <c r="J23" s="23">
        <v>48</v>
      </c>
      <c r="K23" s="28">
        <v>52.9</v>
      </c>
      <c r="L23" s="28">
        <f t="shared" si="2"/>
        <v>0</v>
      </c>
      <c r="M23" s="28">
        <f t="shared" si="3"/>
        <v>0</v>
      </c>
      <c r="N23" s="28">
        <f t="shared" si="4"/>
        <v>0</v>
      </c>
      <c r="O23" s="54">
        <v>20</v>
      </c>
      <c r="P23" s="54"/>
      <c r="Q23" s="54"/>
      <c r="R23" s="34">
        <v>10115</v>
      </c>
      <c r="S23" s="71">
        <v>1</v>
      </c>
      <c r="T23" s="31">
        <f t="shared" si="5"/>
        <v>0.989</v>
      </c>
      <c r="U23" s="71">
        <v>1.322</v>
      </c>
      <c r="V23" s="72">
        <v>48</v>
      </c>
      <c r="W23" s="28">
        <f t="shared" si="6"/>
        <v>52.9</v>
      </c>
      <c r="X23" s="36">
        <f t="shared" si="11"/>
        <v>100.5</v>
      </c>
      <c r="Y23" s="36">
        <f t="shared" si="7"/>
        <v>0</v>
      </c>
      <c r="Z23" s="36">
        <f t="shared" si="8"/>
        <v>0</v>
      </c>
      <c r="AA23" s="36">
        <f t="shared" si="0"/>
        <v>100.5</v>
      </c>
      <c r="AB23" s="74">
        <v>100.5</v>
      </c>
      <c r="AC23" s="24">
        <f t="shared" si="9"/>
        <v>0</v>
      </c>
      <c r="AD23" s="112">
        <f t="shared" si="10"/>
        <v>1</v>
      </c>
    </row>
    <row r="24" spans="1:30" s="24" customFormat="1" ht="15.75">
      <c r="A24" s="29">
        <v>17</v>
      </c>
      <c r="B24" s="22" t="s">
        <v>12</v>
      </c>
      <c r="C24" s="52"/>
      <c r="D24" s="52"/>
      <c r="E24" s="53"/>
      <c r="F24" s="34">
        <v>8889</v>
      </c>
      <c r="G24" s="31">
        <v>1</v>
      </c>
      <c r="H24" s="71">
        <v>0.989</v>
      </c>
      <c r="I24" s="71">
        <f t="shared" si="1"/>
        <v>0.975</v>
      </c>
      <c r="J24" s="23">
        <v>48</v>
      </c>
      <c r="K24" s="28">
        <v>52.9</v>
      </c>
      <c r="L24" s="28">
        <f t="shared" si="2"/>
        <v>0</v>
      </c>
      <c r="M24" s="28">
        <f t="shared" si="3"/>
        <v>0</v>
      </c>
      <c r="N24" s="28">
        <f t="shared" si="4"/>
        <v>0</v>
      </c>
      <c r="O24" s="54">
        <v>73</v>
      </c>
      <c r="P24" s="54">
        <v>2</v>
      </c>
      <c r="Q24" s="54"/>
      <c r="R24" s="34">
        <v>10115</v>
      </c>
      <c r="S24" s="71">
        <v>1</v>
      </c>
      <c r="T24" s="31">
        <f t="shared" si="5"/>
        <v>0.989</v>
      </c>
      <c r="U24" s="71">
        <v>0.975</v>
      </c>
      <c r="V24" s="72">
        <v>48</v>
      </c>
      <c r="W24" s="28">
        <f t="shared" si="6"/>
        <v>52.9</v>
      </c>
      <c r="X24" s="36">
        <f>ROUND((O24*R24*S24/1000-O24*W24/100*V24*247/1000)*T24*U24,1)+0.2</f>
        <v>270.7</v>
      </c>
      <c r="Y24" s="36">
        <f t="shared" si="7"/>
        <v>19.5</v>
      </c>
      <c r="Z24" s="36">
        <f t="shared" si="8"/>
        <v>0</v>
      </c>
      <c r="AA24" s="36">
        <f t="shared" si="0"/>
        <v>290.2</v>
      </c>
      <c r="AB24" s="74">
        <v>290.2</v>
      </c>
      <c r="AC24" s="24">
        <f t="shared" si="9"/>
        <v>0</v>
      </c>
      <c r="AD24" s="112">
        <f t="shared" si="10"/>
        <v>1</v>
      </c>
    </row>
    <row r="25" spans="1:30" s="24" customFormat="1" ht="15.75">
      <c r="A25" s="29">
        <v>18</v>
      </c>
      <c r="B25" s="22" t="s">
        <v>13</v>
      </c>
      <c r="C25" s="52"/>
      <c r="D25" s="52"/>
      <c r="E25" s="53"/>
      <c r="F25" s="34">
        <v>8889</v>
      </c>
      <c r="G25" s="31">
        <v>1</v>
      </c>
      <c r="H25" s="71">
        <v>1.051</v>
      </c>
      <c r="I25" s="71">
        <f t="shared" si="1"/>
        <v>1.063</v>
      </c>
      <c r="J25" s="23">
        <v>48</v>
      </c>
      <c r="K25" s="28">
        <v>52.9</v>
      </c>
      <c r="L25" s="28">
        <f t="shared" si="2"/>
        <v>0</v>
      </c>
      <c r="M25" s="28">
        <f t="shared" si="3"/>
        <v>0</v>
      </c>
      <c r="N25" s="28">
        <f t="shared" si="4"/>
        <v>0</v>
      </c>
      <c r="O25" s="54">
        <v>41</v>
      </c>
      <c r="P25" s="54"/>
      <c r="Q25" s="54"/>
      <c r="R25" s="34">
        <v>10115</v>
      </c>
      <c r="S25" s="71">
        <v>1</v>
      </c>
      <c r="T25" s="31">
        <f t="shared" si="5"/>
        <v>1.051</v>
      </c>
      <c r="U25" s="71">
        <v>1.063</v>
      </c>
      <c r="V25" s="72">
        <v>48</v>
      </c>
      <c r="W25" s="28">
        <f t="shared" si="6"/>
        <v>52.9</v>
      </c>
      <c r="X25" s="36">
        <f t="shared" si="11"/>
        <v>176</v>
      </c>
      <c r="Y25" s="36">
        <f t="shared" si="7"/>
        <v>0</v>
      </c>
      <c r="Z25" s="36">
        <f t="shared" si="8"/>
        <v>0</v>
      </c>
      <c r="AA25" s="36">
        <f t="shared" si="0"/>
        <v>176</v>
      </c>
      <c r="AB25" s="74">
        <v>176</v>
      </c>
      <c r="AC25" s="24">
        <f t="shared" si="9"/>
        <v>0</v>
      </c>
      <c r="AD25" s="112">
        <f t="shared" si="10"/>
        <v>1</v>
      </c>
    </row>
    <row r="26" spans="1:30" s="24" customFormat="1" ht="15.75">
      <c r="A26" s="29">
        <v>19</v>
      </c>
      <c r="B26" s="22" t="s">
        <v>14</v>
      </c>
      <c r="C26" s="52"/>
      <c r="D26" s="52"/>
      <c r="E26" s="53"/>
      <c r="F26" s="34">
        <v>8889</v>
      </c>
      <c r="G26" s="31">
        <v>1</v>
      </c>
      <c r="H26" s="71">
        <v>0.827</v>
      </c>
      <c r="I26" s="71">
        <f t="shared" si="1"/>
        <v>1.203</v>
      </c>
      <c r="J26" s="23">
        <v>48</v>
      </c>
      <c r="K26" s="28">
        <v>52.9</v>
      </c>
      <c r="L26" s="28">
        <f t="shared" si="2"/>
        <v>0</v>
      </c>
      <c r="M26" s="28">
        <f t="shared" si="3"/>
        <v>0</v>
      </c>
      <c r="N26" s="28">
        <f t="shared" si="4"/>
        <v>0</v>
      </c>
      <c r="O26" s="54">
        <v>40</v>
      </c>
      <c r="P26" s="54"/>
      <c r="Q26" s="54"/>
      <c r="R26" s="34">
        <v>10115</v>
      </c>
      <c r="S26" s="71">
        <v>1</v>
      </c>
      <c r="T26" s="31">
        <f t="shared" si="5"/>
        <v>0.827</v>
      </c>
      <c r="U26" s="71">
        <v>1.203</v>
      </c>
      <c r="V26" s="72">
        <v>48</v>
      </c>
      <c r="W26" s="28">
        <f t="shared" si="6"/>
        <v>52.9</v>
      </c>
      <c r="X26" s="36">
        <f t="shared" si="11"/>
        <v>152.9</v>
      </c>
      <c r="Y26" s="36">
        <f t="shared" si="7"/>
        <v>0</v>
      </c>
      <c r="Z26" s="36">
        <f t="shared" si="8"/>
        <v>0</v>
      </c>
      <c r="AA26" s="36">
        <f t="shared" si="0"/>
        <v>152.9</v>
      </c>
      <c r="AB26" s="74">
        <v>152.9</v>
      </c>
      <c r="AC26" s="24">
        <f t="shared" si="9"/>
        <v>0</v>
      </c>
      <c r="AD26" s="112">
        <f t="shared" si="10"/>
        <v>1</v>
      </c>
    </row>
    <row r="27" spans="1:30" s="26" customFormat="1" ht="16.5" customHeight="1">
      <c r="A27" s="29">
        <v>20</v>
      </c>
      <c r="B27" s="25" t="s">
        <v>15</v>
      </c>
      <c r="C27" s="61"/>
      <c r="D27" s="61"/>
      <c r="E27" s="62"/>
      <c r="F27" s="34">
        <v>8889</v>
      </c>
      <c r="G27" s="31">
        <v>1</v>
      </c>
      <c r="H27" s="71">
        <v>0.935</v>
      </c>
      <c r="I27" s="71">
        <f t="shared" si="1"/>
        <v>0.976</v>
      </c>
      <c r="J27" s="23">
        <v>48</v>
      </c>
      <c r="K27" s="28">
        <v>52.9</v>
      </c>
      <c r="L27" s="28">
        <f t="shared" si="2"/>
        <v>0</v>
      </c>
      <c r="M27" s="28">
        <f t="shared" si="3"/>
        <v>0</v>
      </c>
      <c r="N27" s="28">
        <f t="shared" si="4"/>
        <v>0</v>
      </c>
      <c r="O27" s="54">
        <v>56</v>
      </c>
      <c r="P27" s="54"/>
      <c r="Q27" s="54">
        <v>1</v>
      </c>
      <c r="R27" s="34">
        <v>10115</v>
      </c>
      <c r="S27" s="71">
        <v>1</v>
      </c>
      <c r="T27" s="31">
        <f t="shared" si="5"/>
        <v>0.935</v>
      </c>
      <c r="U27" s="71">
        <v>0.976</v>
      </c>
      <c r="V27" s="72">
        <v>48</v>
      </c>
      <c r="W27" s="28">
        <f t="shared" si="6"/>
        <v>52.9</v>
      </c>
      <c r="X27" s="36">
        <f t="shared" si="11"/>
        <v>196.4</v>
      </c>
      <c r="Y27" s="36">
        <f t="shared" si="7"/>
        <v>0</v>
      </c>
      <c r="Z27" s="36">
        <f t="shared" si="8"/>
        <v>9.2</v>
      </c>
      <c r="AA27" s="36">
        <f t="shared" si="0"/>
        <v>205.6</v>
      </c>
      <c r="AB27" s="74">
        <v>205.6</v>
      </c>
      <c r="AC27" s="24">
        <f t="shared" si="9"/>
        <v>0</v>
      </c>
      <c r="AD27" s="112">
        <f t="shared" si="10"/>
        <v>1</v>
      </c>
    </row>
    <row r="28" spans="1:30" s="24" customFormat="1" ht="19.5" customHeight="1">
      <c r="A28" s="29">
        <v>21</v>
      </c>
      <c r="B28" s="22" t="s">
        <v>26</v>
      </c>
      <c r="C28" s="63"/>
      <c r="D28" s="63"/>
      <c r="E28" s="64"/>
      <c r="F28" s="34">
        <v>8889</v>
      </c>
      <c r="G28" s="31">
        <v>1</v>
      </c>
      <c r="H28" s="71">
        <v>0.392</v>
      </c>
      <c r="I28" s="71">
        <f t="shared" si="1"/>
        <v>1.576</v>
      </c>
      <c r="J28" s="23">
        <v>48</v>
      </c>
      <c r="K28" s="28">
        <v>52.9</v>
      </c>
      <c r="L28" s="28">
        <f t="shared" si="2"/>
        <v>0</v>
      </c>
      <c r="M28" s="28">
        <f t="shared" si="3"/>
        <v>0</v>
      </c>
      <c r="N28" s="28">
        <f t="shared" si="4"/>
        <v>0</v>
      </c>
      <c r="O28" s="54">
        <v>18</v>
      </c>
      <c r="P28" s="54"/>
      <c r="Q28" s="54"/>
      <c r="R28" s="34">
        <v>10115</v>
      </c>
      <c r="S28" s="71">
        <v>1</v>
      </c>
      <c r="T28" s="31">
        <f t="shared" si="5"/>
        <v>0.392</v>
      </c>
      <c r="U28" s="71">
        <v>1.576</v>
      </c>
      <c r="V28" s="72">
        <v>48</v>
      </c>
      <c r="W28" s="28">
        <f t="shared" si="6"/>
        <v>52.9</v>
      </c>
      <c r="X28" s="36">
        <f t="shared" si="11"/>
        <v>42.7</v>
      </c>
      <c r="Y28" s="36">
        <f t="shared" si="7"/>
        <v>0</v>
      </c>
      <c r="Z28" s="36">
        <f t="shared" si="8"/>
        <v>0</v>
      </c>
      <c r="AA28" s="36">
        <f t="shared" si="0"/>
        <v>42.7</v>
      </c>
      <c r="AB28" s="74">
        <v>42.7</v>
      </c>
      <c r="AC28" s="24">
        <f t="shared" si="9"/>
        <v>0</v>
      </c>
      <c r="AD28" s="112">
        <f t="shared" si="10"/>
        <v>1</v>
      </c>
    </row>
    <row r="29" spans="1:30" s="24" customFormat="1" ht="19.5" customHeight="1">
      <c r="A29" s="29">
        <v>22</v>
      </c>
      <c r="B29" s="22" t="s">
        <v>27</v>
      </c>
      <c r="C29" s="63"/>
      <c r="D29" s="63"/>
      <c r="E29" s="64"/>
      <c r="F29" s="34">
        <v>8889</v>
      </c>
      <c r="G29" s="31">
        <v>1</v>
      </c>
      <c r="H29" s="71">
        <v>0.776</v>
      </c>
      <c r="I29" s="71">
        <f t="shared" si="1"/>
        <v>1.407</v>
      </c>
      <c r="J29" s="23">
        <v>48</v>
      </c>
      <c r="K29" s="28">
        <v>52.9</v>
      </c>
      <c r="L29" s="28">
        <f t="shared" si="2"/>
        <v>0</v>
      </c>
      <c r="M29" s="28">
        <f t="shared" si="3"/>
        <v>0</v>
      </c>
      <c r="N29" s="28">
        <f t="shared" si="4"/>
        <v>0</v>
      </c>
      <c r="O29" s="54">
        <v>9</v>
      </c>
      <c r="P29" s="54"/>
      <c r="Q29" s="54"/>
      <c r="R29" s="34">
        <v>10115</v>
      </c>
      <c r="S29" s="71">
        <v>1</v>
      </c>
      <c r="T29" s="31">
        <f t="shared" si="5"/>
        <v>0.776</v>
      </c>
      <c r="U29" s="71">
        <v>1.407</v>
      </c>
      <c r="V29" s="72">
        <v>48</v>
      </c>
      <c r="W29" s="28">
        <f t="shared" si="6"/>
        <v>52.9</v>
      </c>
      <c r="X29" s="36">
        <f>ROUND((O29*R29*S29/1000-O29*W29/100*V29*247/1000)*T29*U29,1)-0.1</f>
        <v>37.699999999999996</v>
      </c>
      <c r="Y29" s="36">
        <f t="shared" si="7"/>
        <v>0</v>
      </c>
      <c r="Z29" s="36">
        <f t="shared" si="8"/>
        <v>0</v>
      </c>
      <c r="AA29" s="36">
        <f t="shared" si="0"/>
        <v>37.699999999999996</v>
      </c>
      <c r="AB29" s="74">
        <v>37.7</v>
      </c>
      <c r="AC29" s="24">
        <f t="shared" si="9"/>
        <v>0</v>
      </c>
      <c r="AD29" s="112">
        <f t="shared" si="10"/>
        <v>1</v>
      </c>
    </row>
    <row r="30" spans="1:30" s="24" customFormat="1" ht="18" customHeight="1">
      <c r="A30" s="29">
        <v>23</v>
      </c>
      <c r="B30" s="22" t="s">
        <v>28</v>
      </c>
      <c r="C30" s="63"/>
      <c r="D30" s="63"/>
      <c r="E30" s="64"/>
      <c r="F30" s="34">
        <v>8889</v>
      </c>
      <c r="G30" s="31">
        <v>1</v>
      </c>
      <c r="H30" s="71">
        <v>0.722</v>
      </c>
      <c r="I30" s="71">
        <f t="shared" si="1"/>
        <v>1.435</v>
      </c>
      <c r="J30" s="23">
        <v>48</v>
      </c>
      <c r="K30" s="28">
        <v>52.9</v>
      </c>
      <c r="L30" s="28">
        <f t="shared" si="2"/>
        <v>0</v>
      </c>
      <c r="M30" s="28">
        <f t="shared" si="3"/>
        <v>0</v>
      </c>
      <c r="N30" s="28">
        <f t="shared" si="4"/>
        <v>0</v>
      </c>
      <c r="O30" s="54">
        <v>12</v>
      </c>
      <c r="P30" s="54"/>
      <c r="Q30" s="54"/>
      <c r="R30" s="34">
        <v>10115</v>
      </c>
      <c r="S30" s="71">
        <v>1</v>
      </c>
      <c r="T30" s="31">
        <f t="shared" si="5"/>
        <v>0.722</v>
      </c>
      <c r="U30" s="71">
        <v>1.435</v>
      </c>
      <c r="V30" s="72">
        <v>48</v>
      </c>
      <c r="W30" s="28">
        <f t="shared" si="6"/>
        <v>52.9</v>
      </c>
      <c r="X30" s="36">
        <f t="shared" si="11"/>
        <v>47.8</v>
      </c>
      <c r="Y30" s="36">
        <f t="shared" si="7"/>
        <v>0</v>
      </c>
      <c r="Z30" s="36">
        <f t="shared" si="8"/>
        <v>0</v>
      </c>
      <c r="AA30" s="36">
        <f t="shared" si="0"/>
        <v>47.8</v>
      </c>
      <c r="AB30" s="74">
        <v>47.8</v>
      </c>
      <c r="AC30" s="24">
        <f t="shared" si="9"/>
        <v>0</v>
      </c>
      <c r="AD30" s="112">
        <f t="shared" si="10"/>
        <v>1</v>
      </c>
    </row>
    <row r="31" spans="1:30" s="24" customFormat="1" ht="18.75" customHeight="1">
      <c r="A31" s="29">
        <v>24</v>
      </c>
      <c r="B31" s="22" t="s">
        <v>29</v>
      </c>
      <c r="C31" s="63"/>
      <c r="D31" s="63"/>
      <c r="E31" s="64"/>
      <c r="F31" s="34">
        <v>8889</v>
      </c>
      <c r="G31" s="31">
        <v>1</v>
      </c>
      <c r="H31" s="71">
        <v>0.772</v>
      </c>
      <c r="I31" s="71">
        <f t="shared" si="1"/>
        <v>0.756</v>
      </c>
      <c r="J31" s="23">
        <v>48</v>
      </c>
      <c r="K31" s="28">
        <v>52.9</v>
      </c>
      <c r="L31" s="28">
        <f t="shared" si="2"/>
        <v>0</v>
      </c>
      <c r="M31" s="28">
        <f t="shared" si="3"/>
        <v>0</v>
      </c>
      <c r="N31" s="28">
        <f t="shared" si="4"/>
        <v>0</v>
      </c>
      <c r="O31" s="54">
        <v>31</v>
      </c>
      <c r="P31" s="54"/>
      <c r="Q31" s="54">
        <v>1</v>
      </c>
      <c r="R31" s="34">
        <v>10115</v>
      </c>
      <c r="S31" s="71">
        <v>1</v>
      </c>
      <c r="T31" s="31">
        <f t="shared" si="5"/>
        <v>0.772</v>
      </c>
      <c r="U31" s="71">
        <v>0.756</v>
      </c>
      <c r="V31" s="72">
        <v>48</v>
      </c>
      <c r="W31" s="28">
        <f t="shared" si="6"/>
        <v>52.9</v>
      </c>
      <c r="X31" s="36">
        <f t="shared" si="11"/>
        <v>69.5</v>
      </c>
      <c r="Y31" s="36">
        <f t="shared" si="7"/>
        <v>0</v>
      </c>
      <c r="Z31" s="36">
        <f t="shared" si="8"/>
        <v>5.9</v>
      </c>
      <c r="AA31" s="36">
        <f t="shared" si="0"/>
        <v>75.4</v>
      </c>
      <c r="AB31" s="74">
        <v>75.4</v>
      </c>
      <c r="AC31" s="24">
        <f t="shared" si="9"/>
        <v>0</v>
      </c>
      <c r="AD31" s="112">
        <f t="shared" si="10"/>
        <v>1</v>
      </c>
    </row>
    <row r="32" spans="1:30" s="24" customFormat="1" ht="15.75">
      <c r="A32" s="29">
        <v>25</v>
      </c>
      <c r="B32" s="22" t="s">
        <v>16</v>
      </c>
      <c r="C32" s="49"/>
      <c r="D32" s="49"/>
      <c r="E32" s="50"/>
      <c r="F32" s="34">
        <v>8889</v>
      </c>
      <c r="G32" s="31">
        <v>1</v>
      </c>
      <c r="H32" s="71">
        <v>1.043</v>
      </c>
      <c r="I32" s="71">
        <f t="shared" si="1"/>
        <v>0.857</v>
      </c>
      <c r="J32" s="23">
        <v>48</v>
      </c>
      <c r="K32" s="28">
        <v>52.9</v>
      </c>
      <c r="L32" s="28">
        <f t="shared" si="2"/>
        <v>0</v>
      </c>
      <c r="M32" s="28">
        <f t="shared" si="3"/>
        <v>0</v>
      </c>
      <c r="N32" s="28">
        <f t="shared" si="4"/>
        <v>0</v>
      </c>
      <c r="O32" s="51">
        <v>103</v>
      </c>
      <c r="P32" s="51">
        <v>1</v>
      </c>
      <c r="Q32" s="51">
        <v>1</v>
      </c>
      <c r="R32" s="34">
        <v>10115</v>
      </c>
      <c r="S32" s="71">
        <v>1</v>
      </c>
      <c r="T32" s="31">
        <f t="shared" si="5"/>
        <v>1.043</v>
      </c>
      <c r="U32" s="71">
        <v>0.857</v>
      </c>
      <c r="V32" s="72">
        <v>48</v>
      </c>
      <c r="W32" s="28">
        <f t="shared" si="6"/>
        <v>52.9</v>
      </c>
      <c r="X32" s="36">
        <f>ROUND((O32*R32*S32/1000-O32*W32/100*V32*247/1000)*T32*U32,1)+0.1</f>
        <v>353.90000000000003</v>
      </c>
      <c r="Y32" s="36">
        <f t="shared" si="7"/>
        <v>9</v>
      </c>
      <c r="Z32" s="36">
        <f t="shared" si="8"/>
        <v>9</v>
      </c>
      <c r="AA32" s="36">
        <f t="shared" si="0"/>
        <v>371.90000000000003</v>
      </c>
      <c r="AB32" s="74">
        <v>371.9</v>
      </c>
      <c r="AC32" s="24">
        <f t="shared" si="9"/>
        <v>0</v>
      </c>
      <c r="AD32" s="112">
        <f t="shared" si="10"/>
        <v>1</v>
      </c>
    </row>
    <row r="33" spans="1:30" s="24" customFormat="1" ht="15.75">
      <c r="A33" s="29">
        <v>26</v>
      </c>
      <c r="B33" s="22" t="s">
        <v>17</v>
      </c>
      <c r="C33" s="52"/>
      <c r="D33" s="52"/>
      <c r="E33" s="53"/>
      <c r="F33" s="34">
        <v>8889</v>
      </c>
      <c r="G33" s="31">
        <v>1</v>
      </c>
      <c r="H33" s="71">
        <v>0.935</v>
      </c>
      <c r="I33" s="71">
        <f t="shared" si="1"/>
        <v>0.844</v>
      </c>
      <c r="J33" s="23">
        <v>48</v>
      </c>
      <c r="K33" s="28">
        <v>52.9</v>
      </c>
      <c r="L33" s="28">
        <f t="shared" si="2"/>
        <v>0</v>
      </c>
      <c r="M33" s="28">
        <f t="shared" si="3"/>
        <v>0</v>
      </c>
      <c r="N33" s="28">
        <f t="shared" si="4"/>
        <v>0</v>
      </c>
      <c r="O33" s="54">
        <v>104</v>
      </c>
      <c r="P33" s="54">
        <v>1</v>
      </c>
      <c r="Q33" s="54"/>
      <c r="R33" s="34">
        <v>10115</v>
      </c>
      <c r="S33" s="71">
        <v>1</v>
      </c>
      <c r="T33" s="31">
        <f t="shared" si="5"/>
        <v>0.935</v>
      </c>
      <c r="U33" s="71">
        <v>0.844</v>
      </c>
      <c r="V33" s="72">
        <v>48</v>
      </c>
      <c r="W33" s="28">
        <f t="shared" si="6"/>
        <v>52.9</v>
      </c>
      <c r="X33" s="36">
        <f>ROUND((O33*R33*S33/1000-O33*W33/100*V33*247/1000)*T33*U33,1)+0.1</f>
        <v>315.5</v>
      </c>
      <c r="Y33" s="36">
        <f t="shared" si="7"/>
        <v>8</v>
      </c>
      <c r="Z33" s="36">
        <f t="shared" si="8"/>
        <v>0</v>
      </c>
      <c r="AA33" s="36">
        <f t="shared" si="0"/>
        <v>323.5</v>
      </c>
      <c r="AB33" s="74">
        <v>323.5</v>
      </c>
      <c r="AC33" s="24">
        <f t="shared" si="9"/>
        <v>0</v>
      </c>
      <c r="AD33" s="112">
        <f t="shared" si="10"/>
        <v>1</v>
      </c>
    </row>
    <row r="34" spans="1:30" s="26" customFormat="1" ht="18" customHeight="1">
      <c r="A34" s="29">
        <v>27</v>
      </c>
      <c r="B34" s="25" t="s">
        <v>18</v>
      </c>
      <c r="C34" s="63">
        <v>22</v>
      </c>
      <c r="D34" s="52"/>
      <c r="E34" s="53"/>
      <c r="F34" s="34">
        <v>8889</v>
      </c>
      <c r="G34" s="31">
        <v>1</v>
      </c>
      <c r="H34" s="71">
        <v>1.058</v>
      </c>
      <c r="I34" s="71">
        <f t="shared" si="1"/>
        <v>1.042</v>
      </c>
      <c r="J34" s="23">
        <v>48</v>
      </c>
      <c r="K34" s="28">
        <v>52.9</v>
      </c>
      <c r="L34" s="28">
        <f t="shared" si="2"/>
        <v>63.5</v>
      </c>
      <c r="M34" s="28">
        <f t="shared" si="3"/>
        <v>0</v>
      </c>
      <c r="N34" s="28">
        <f t="shared" si="4"/>
        <v>0</v>
      </c>
      <c r="O34" s="54">
        <v>96</v>
      </c>
      <c r="P34" s="54">
        <v>1</v>
      </c>
      <c r="Q34" s="54"/>
      <c r="R34" s="34">
        <v>10115</v>
      </c>
      <c r="S34" s="71">
        <v>1</v>
      </c>
      <c r="T34" s="31">
        <f t="shared" si="5"/>
        <v>1.058</v>
      </c>
      <c r="U34" s="71">
        <v>1.042</v>
      </c>
      <c r="V34" s="72">
        <v>48</v>
      </c>
      <c r="W34" s="28">
        <f t="shared" si="6"/>
        <v>52.9</v>
      </c>
      <c r="X34" s="36">
        <f>ROUND((O34*R34*S34/1000-O34*W34/100*V34*247/1000)*T34*U34,1)+0.1</f>
        <v>406.8</v>
      </c>
      <c r="Y34" s="36">
        <f t="shared" si="7"/>
        <v>11.2</v>
      </c>
      <c r="Z34" s="36">
        <f t="shared" si="8"/>
        <v>0</v>
      </c>
      <c r="AA34" s="36">
        <f t="shared" si="0"/>
        <v>481.5</v>
      </c>
      <c r="AB34" s="74">
        <v>481.5</v>
      </c>
      <c r="AC34" s="24">
        <f t="shared" si="9"/>
        <v>0</v>
      </c>
      <c r="AD34" s="112">
        <f t="shared" si="10"/>
        <v>1</v>
      </c>
    </row>
    <row r="35" spans="1:30" s="24" customFormat="1" ht="15.75">
      <c r="A35" s="29">
        <v>28</v>
      </c>
      <c r="B35" s="22" t="s">
        <v>19</v>
      </c>
      <c r="C35" s="52">
        <v>19</v>
      </c>
      <c r="D35" s="52"/>
      <c r="E35" s="53"/>
      <c r="F35" s="34">
        <v>8889</v>
      </c>
      <c r="G35" s="31">
        <v>1</v>
      </c>
      <c r="H35" s="71">
        <v>0.729</v>
      </c>
      <c r="I35" s="71">
        <f t="shared" si="1"/>
        <v>0.926</v>
      </c>
      <c r="J35" s="23">
        <v>48</v>
      </c>
      <c r="K35" s="28">
        <v>52.9</v>
      </c>
      <c r="L35" s="28">
        <f t="shared" si="2"/>
        <v>33.6</v>
      </c>
      <c r="M35" s="28">
        <f t="shared" si="3"/>
        <v>0</v>
      </c>
      <c r="N35" s="28">
        <f t="shared" si="4"/>
        <v>0</v>
      </c>
      <c r="O35" s="54">
        <v>120</v>
      </c>
      <c r="P35" s="54">
        <v>1</v>
      </c>
      <c r="Q35" s="54"/>
      <c r="R35" s="34">
        <v>10115</v>
      </c>
      <c r="S35" s="71">
        <v>1</v>
      </c>
      <c r="T35" s="31">
        <f t="shared" si="5"/>
        <v>0.729</v>
      </c>
      <c r="U35" s="71">
        <v>0.926</v>
      </c>
      <c r="V35" s="72">
        <v>48</v>
      </c>
      <c r="W35" s="28">
        <f t="shared" si="6"/>
        <v>52.9</v>
      </c>
      <c r="X35" s="36">
        <f t="shared" si="11"/>
        <v>311.3</v>
      </c>
      <c r="Y35" s="36">
        <f t="shared" si="7"/>
        <v>6.8</v>
      </c>
      <c r="Z35" s="36">
        <f t="shared" si="8"/>
        <v>0</v>
      </c>
      <c r="AA35" s="36">
        <f t="shared" si="0"/>
        <v>351.70000000000005</v>
      </c>
      <c r="AB35" s="74">
        <v>351.7</v>
      </c>
      <c r="AC35" s="24">
        <f t="shared" si="9"/>
        <v>0</v>
      </c>
      <c r="AD35" s="112">
        <f t="shared" si="10"/>
        <v>1</v>
      </c>
    </row>
    <row r="36" spans="1:30" s="24" customFormat="1" ht="15.75">
      <c r="A36" s="29">
        <v>29</v>
      </c>
      <c r="B36" s="22" t="s">
        <v>20</v>
      </c>
      <c r="C36" s="65">
        <v>20</v>
      </c>
      <c r="D36" s="65"/>
      <c r="E36" s="66"/>
      <c r="F36" s="34">
        <v>8889</v>
      </c>
      <c r="G36" s="31">
        <v>1</v>
      </c>
      <c r="H36" s="71">
        <v>0.852</v>
      </c>
      <c r="I36" s="71">
        <f t="shared" si="1"/>
        <v>0.985</v>
      </c>
      <c r="J36" s="23">
        <v>48</v>
      </c>
      <c r="K36" s="28">
        <v>52.9</v>
      </c>
      <c r="L36" s="28">
        <f t="shared" si="2"/>
        <v>43.9</v>
      </c>
      <c r="M36" s="28">
        <f t="shared" si="3"/>
        <v>0</v>
      </c>
      <c r="N36" s="28">
        <f t="shared" si="4"/>
        <v>0</v>
      </c>
      <c r="O36" s="67">
        <v>104</v>
      </c>
      <c r="P36" s="67">
        <v>4</v>
      </c>
      <c r="Q36" s="67"/>
      <c r="R36" s="34">
        <v>10115</v>
      </c>
      <c r="S36" s="71">
        <v>1</v>
      </c>
      <c r="T36" s="31">
        <f t="shared" si="5"/>
        <v>0.852</v>
      </c>
      <c r="U36" s="71">
        <v>0.985</v>
      </c>
      <c r="V36" s="72">
        <v>48</v>
      </c>
      <c r="W36" s="28">
        <f t="shared" si="6"/>
        <v>52.9</v>
      </c>
      <c r="X36" s="36">
        <f t="shared" si="11"/>
        <v>335.4</v>
      </c>
      <c r="Y36" s="36">
        <f t="shared" si="7"/>
        <v>34</v>
      </c>
      <c r="Z36" s="36">
        <f t="shared" si="8"/>
        <v>0</v>
      </c>
      <c r="AA36" s="36">
        <f t="shared" si="0"/>
        <v>413.29999999999995</v>
      </c>
      <c r="AB36" s="74">
        <v>413.3</v>
      </c>
      <c r="AC36" s="24">
        <f t="shared" si="9"/>
        <v>0</v>
      </c>
      <c r="AD36" s="112">
        <f t="shared" si="10"/>
        <v>1</v>
      </c>
    </row>
    <row r="37" spans="1:30" s="24" customFormat="1" ht="15.75">
      <c r="A37" s="29">
        <v>30</v>
      </c>
      <c r="B37" s="22" t="s">
        <v>30</v>
      </c>
      <c r="C37" s="52"/>
      <c r="D37" s="52"/>
      <c r="E37" s="53"/>
      <c r="F37" s="34">
        <v>8889</v>
      </c>
      <c r="G37" s="31">
        <v>1</v>
      </c>
      <c r="H37" s="71">
        <v>1.06</v>
      </c>
      <c r="I37" s="71">
        <f t="shared" si="1"/>
        <v>0.922</v>
      </c>
      <c r="J37" s="23">
        <v>48</v>
      </c>
      <c r="K37" s="28">
        <v>52.9</v>
      </c>
      <c r="L37" s="28">
        <f t="shared" si="2"/>
        <v>0</v>
      </c>
      <c r="M37" s="28">
        <f t="shared" si="3"/>
        <v>0</v>
      </c>
      <c r="N37" s="28">
        <f t="shared" si="4"/>
        <v>0</v>
      </c>
      <c r="O37" s="54">
        <v>18</v>
      </c>
      <c r="P37" s="54"/>
      <c r="Q37" s="54"/>
      <c r="R37" s="34">
        <v>10115</v>
      </c>
      <c r="S37" s="71">
        <v>1</v>
      </c>
      <c r="T37" s="31">
        <f t="shared" si="5"/>
        <v>1.06</v>
      </c>
      <c r="U37" s="71">
        <v>0.922</v>
      </c>
      <c r="V37" s="72">
        <v>48</v>
      </c>
      <c r="W37" s="28">
        <f t="shared" si="6"/>
        <v>52.9</v>
      </c>
      <c r="X37" s="36">
        <f t="shared" si="11"/>
        <v>67.6</v>
      </c>
      <c r="Y37" s="36">
        <f t="shared" si="7"/>
        <v>0</v>
      </c>
      <c r="Z37" s="36">
        <f t="shared" si="8"/>
        <v>0</v>
      </c>
      <c r="AA37" s="36">
        <f t="shared" si="0"/>
        <v>67.6</v>
      </c>
      <c r="AB37" s="74">
        <v>67.6</v>
      </c>
      <c r="AC37" s="24">
        <f t="shared" si="9"/>
        <v>0</v>
      </c>
      <c r="AD37" s="112">
        <f t="shared" si="10"/>
        <v>1</v>
      </c>
    </row>
    <row r="38" spans="1:30" s="24" customFormat="1" ht="15.75">
      <c r="A38" s="29">
        <v>31</v>
      </c>
      <c r="B38" s="22" t="s">
        <v>31</v>
      </c>
      <c r="C38" s="52"/>
      <c r="D38" s="52"/>
      <c r="E38" s="53"/>
      <c r="F38" s="34">
        <v>8889</v>
      </c>
      <c r="G38" s="31">
        <v>1</v>
      </c>
      <c r="H38" s="71">
        <v>1.326</v>
      </c>
      <c r="I38" s="71">
        <f t="shared" si="1"/>
        <v>0.986</v>
      </c>
      <c r="J38" s="23">
        <v>48</v>
      </c>
      <c r="K38" s="28">
        <v>52.9</v>
      </c>
      <c r="L38" s="28">
        <f t="shared" si="2"/>
        <v>0</v>
      </c>
      <c r="M38" s="28">
        <f t="shared" si="3"/>
        <v>0</v>
      </c>
      <c r="N38" s="28">
        <f t="shared" si="4"/>
        <v>0</v>
      </c>
      <c r="O38" s="54">
        <v>20</v>
      </c>
      <c r="P38" s="54"/>
      <c r="Q38" s="54"/>
      <c r="R38" s="34">
        <v>10115</v>
      </c>
      <c r="S38" s="71">
        <v>1</v>
      </c>
      <c r="T38" s="31">
        <f t="shared" si="5"/>
        <v>1.326</v>
      </c>
      <c r="U38" s="71">
        <v>0.986</v>
      </c>
      <c r="V38" s="72">
        <v>48</v>
      </c>
      <c r="W38" s="28">
        <f t="shared" si="6"/>
        <v>52.9</v>
      </c>
      <c r="X38" s="36">
        <f t="shared" si="11"/>
        <v>100.5</v>
      </c>
      <c r="Y38" s="36">
        <f t="shared" si="7"/>
        <v>0</v>
      </c>
      <c r="Z38" s="36">
        <f t="shared" si="8"/>
        <v>0</v>
      </c>
      <c r="AA38" s="36">
        <f t="shared" si="0"/>
        <v>100.5</v>
      </c>
      <c r="AB38" s="74">
        <v>100.5</v>
      </c>
      <c r="AC38" s="24">
        <f t="shared" si="9"/>
        <v>0</v>
      </c>
      <c r="AD38" s="112">
        <f t="shared" si="10"/>
        <v>1</v>
      </c>
    </row>
    <row r="39" spans="1:30" s="24" customFormat="1" ht="15.75">
      <c r="A39" s="29">
        <v>32</v>
      </c>
      <c r="B39" s="22" t="s">
        <v>21</v>
      </c>
      <c r="C39" s="52"/>
      <c r="D39" s="52"/>
      <c r="E39" s="53"/>
      <c r="F39" s="34">
        <v>8889</v>
      </c>
      <c r="G39" s="31">
        <v>1</v>
      </c>
      <c r="H39" s="71">
        <v>0.676</v>
      </c>
      <c r="I39" s="71">
        <f t="shared" si="1"/>
        <v>1.036</v>
      </c>
      <c r="J39" s="23">
        <v>48</v>
      </c>
      <c r="K39" s="28">
        <v>52.9</v>
      </c>
      <c r="L39" s="28">
        <f t="shared" si="2"/>
        <v>0</v>
      </c>
      <c r="M39" s="28">
        <f t="shared" si="3"/>
        <v>0</v>
      </c>
      <c r="N39" s="28">
        <f t="shared" si="4"/>
        <v>0</v>
      </c>
      <c r="O39" s="54">
        <v>55</v>
      </c>
      <c r="P39" s="54"/>
      <c r="Q39" s="54"/>
      <c r="R39" s="34">
        <v>10115</v>
      </c>
      <c r="S39" s="71">
        <v>1</v>
      </c>
      <c r="T39" s="31">
        <f t="shared" si="5"/>
        <v>0.676</v>
      </c>
      <c r="U39" s="71">
        <v>1.036</v>
      </c>
      <c r="V39" s="72">
        <v>48</v>
      </c>
      <c r="W39" s="28">
        <f t="shared" si="6"/>
        <v>52.9</v>
      </c>
      <c r="X39" s="36">
        <f t="shared" si="11"/>
        <v>148</v>
      </c>
      <c r="Y39" s="36">
        <f t="shared" si="7"/>
        <v>0</v>
      </c>
      <c r="Z39" s="36">
        <f t="shared" si="8"/>
        <v>0</v>
      </c>
      <c r="AA39" s="36">
        <f t="shared" si="0"/>
        <v>148</v>
      </c>
      <c r="AB39" s="74">
        <v>148</v>
      </c>
      <c r="AC39" s="24">
        <f t="shared" si="9"/>
        <v>0</v>
      </c>
      <c r="AD39" s="112">
        <f t="shared" si="10"/>
        <v>1</v>
      </c>
    </row>
    <row r="40" spans="1:30" s="24" customFormat="1" ht="15.75">
      <c r="A40" s="29">
        <v>33</v>
      </c>
      <c r="B40" s="22" t="s">
        <v>32</v>
      </c>
      <c r="C40" s="56"/>
      <c r="D40" s="56"/>
      <c r="E40" s="57"/>
      <c r="F40" s="34">
        <v>8889</v>
      </c>
      <c r="G40" s="31">
        <v>1</v>
      </c>
      <c r="H40" s="71">
        <v>1.13</v>
      </c>
      <c r="I40" s="71">
        <f t="shared" si="1"/>
        <v>0.965</v>
      </c>
      <c r="J40" s="23">
        <v>48</v>
      </c>
      <c r="K40" s="28">
        <v>52.9</v>
      </c>
      <c r="L40" s="28">
        <f t="shared" si="2"/>
        <v>0</v>
      </c>
      <c r="M40" s="28">
        <f t="shared" si="3"/>
        <v>0</v>
      </c>
      <c r="N40" s="28">
        <f t="shared" si="4"/>
        <v>0</v>
      </c>
      <c r="O40" s="54">
        <v>12</v>
      </c>
      <c r="P40" s="54"/>
      <c r="Q40" s="54"/>
      <c r="R40" s="34">
        <v>10115</v>
      </c>
      <c r="S40" s="71">
        <v>1</v>
      </c>
      <c r="T40" s="31">
        <f t="shared" si="5"/>
        <v>1.13</v>
      </c>
      <c r="U40" s="71">
        <v>0.965</v>
      </c>
      <c r="V40" s="72">
        <v>48</v>
      </c>
      <c r="W40" s="28">
        <f t="shared" si="6"/>
        <v>52.9</v>
      </c>
      <c r="X40" s="36">
        <f t="shared" si="11"/>
        <v>50.3</v>
      </c>
      <c r="Y40" s="36">
        <f t="shared" si="7"/>
        <v>0</v>
      </c>
      <c r="Z40" s="36">
        <f t="shared" si="8"/>
        <v>0</v>
      </c>
      <c r="AA40" s="36">
        <f t="shared" si="0"/>
        <v>50.3</v>
      </c>
      <c r="AB40" s="74">
        <v>50.3</v>
      </c>
      <c r="AC40" s="24">
        <f t="shared" si="9"/>
        <v>0</v>
      </c>
      <c r="AD40" s="112">
        <f t="shared" si="10"/>
        <v>1</v>
      </c>
    </row>
    <row r="41" spans="1:30" s="24" customFormat="1" ht="17.25" customHeight="1">
      <c r="A41" s="29">
        <v>34</v>
      </c>
      <c r="B41" s="22" t="s">
        <v>33</v>
      </c>
      <c r="C41" s="56"/>
      <c r="D41" s="56"/>
      <c r="E41" s="57"/>
      <c r="F41" s="34">
        <v>8889</v>
      </c>
      <c r="G41" s="31">
        <v>1</v>
      </c>
      <c r="H41" s="71">
        <v>0.99</v>
      </c>
      <c r="I41" s="71">
        <f t="shared" si="1"/>
        <v>1.037</v>
      </c>
      <c r="J41" s="23">
        <v>48</v>
      </c>
      <c r="K41" s="28">
        <v>52.9</v>
      </c>
      <c r="L41" s="28">
        <f t="shared" si="2"/>
        <v>0</v>
      </c>
      <c r="M41" s="28">
        <f t="shared" si="3"/>
        <v>0</v>
      </c>
      <c r="N41" s="28">
        <f t="shared" si="4"/>
        <v>0</v>
      </c>
      <c r="O41" s="54">
        <v>30</v>
      </c>
      <c r="P41" s="54">
        <v>2</v>
      </c>
      <c r="Q41" s="54"/>
      <c r="R41" s="34">
        <v>10115</v>
      </c>
      <c r="S41" s="71">
        <v>1</v>
      </c>
      <c r="T41" s="31">
        <f t="shared" si="5"/>
        <v>0.99</v>
      </c>
      <c r="U41" s="71">
        <v>1.037</v>
      </c>
      <c r="V41" s="72">
        <v>48</v>
      </c>
      <c r="W41" s="28">
        <f t="shared" si="6"/>
        <v>52.9</v>
      </c>
      <c r="X41" s="36">
        <f>ROUND((O41*R41*S41/1000-O41*W41/100*V41*247/1000)*T41*U41,1)-0.1</f>
        <v>118.30000000000001</v>
      </c>
      <c r="Y41" s="36">
        <f t="shared" si="7"/>
        <v>20.8</v>
      </c>
      <c r="Z41" s="36">
        <f t="shared" si="8"/>
        <v>0</v>
      </c>
      <c r="AA41" s="36">
        <f t="shared" si="0"/>
        <v>139.10000000000002</v>
      </c>
      <c r="AB41" s="74">
        <v>139.1</v>
      </c>
      <c r="AC41" s="24">
        <f t="shared" si="9"/>
        <v>0</v>
      </c>
      <c r="AD41" s="112">
        <f t="shared" si="10"/>
        <v>1</v>
      </c>
    </row>
    <row r="42" spans="1:30" s="24" customFormat="1" ht="15.75">
      <c r="A42" s="29">
        <v>35</v>
      </c>
      <c r="B42" s="22" t="s">
        <v>34</v>
      </c>
      <c r="C42" s="52"/>
      <c r="D42" s="52"/>
      <c r="E42" s="53"/>
      <c r="F42" s="34">
        <v>8889</v>
      </c>
      <c r="G42" s="31">
        <v>1</v>
      </c>
      <c r="H42" s="71">
        <v>1.613</v>
      </c>
      <c r="I42" s="71">
        <f t="shared" si="1"/>
        <v>0.694</v>
      </c>
      <c r="J42" s="23">
        <v>48</v>
      </c>
      <c r="K42" s="28">
        <v>52.9</v>
      </c>
      <c r="L42" s="28">
        <f t="shared" si="2"/>
        <v>0</v>
      </c>
      <c r="M42" s="28">
        <f t="shared" si="3"/>
        <v>0</v>
      </c>
      <c r="N42" s="28">
        <f t="shared" si="4"/>
        <v>0</v>
      </c>
      <c r="O42" s="54">
        <v>27</v>
      </c>
      <c r="P42" s="54"/>
      <c r="Q42" s="54"/>
      <c r="R42" s="34">
        <v>10115</v>
      </c>
      <c r="S42" s="71">
        <v>1</v>
      </c>
      <c r="T42" s="31">
        <f t="shared" si="5"/>
        <v>1.613</v>
      </c>
      <c r="U42" s="71">
        <v>0.694</v>
      </c>
      <c r="V42" s="72">
        <v>48</v>
      </c>
      <c r="W42" s="28">
        <f t="shared" si="6"/>
        <v>52.9</v>
      </c>
      <c r="X42" s="36">
        <f t="shared" si="11"/>
        <v>116.2</v>
      </c>
      <c r="Y42" s="36">
        <f t="shared" si="7"/>
        <v>0</v>
      </c>
      <c r="Z42" s="36">
        <f t="shared" si="8"/>
        <v>0</v>
      </c>
      <c r="AA42" s="36">
        <f t="shared" si="0"/>
        <v>116.2</v>
      </c>
      <c r="AB42" s="74">
        <v>116.2</v>
      </c>
      <c r="AC42" s="24">
        <f t="shared" si="9"/>
        <v>0</v>
      </c>
      <c r="AD42" s="112">
        <f t="shared" si="10"/>
        <v>1</v>
      </c>
    </row>
    <row r="43" spans="1:30" s="24" customFormat="1" ht="15.75">
      <c r="A43" s="29">
        <v>36</v>
      </c>
      <c r="B43" s="22" t="s">
        <v>35</v>
      </c>
      <c r="C43" s="52"/>
      <c r="D43" s="52"/>
      <c r="E43" s="53"/>
      <c r="F43" s="34">
        <v>8889</v>
      </c>
      <c r="G43" s="31">
        <v>1</v>
      </c>
      <c r="H43" s="71">
        <v>0.977</v>
      </c>
      <c r="I43" s="71">
        <f t="shared" si="1"/>
        <v>0.942</v>
      </c>
      <c r="J43" s="23">
        <v>48</v>
      </c>
      <c r="K43" s="28">
        <v>52.9</v>
      </c>
      <c r="L43" s="28">
        <f t="shared" si="2"/>
        <v>0</v>
      </c>
      <c r="M43" s="28">
        <f t="shared" si="3"/>
        <v>0</v>
      </c>
      <c r="N43" s="28">
        <f t="shared" si="4"/>
        <v>0</v>
      </c>
      <c r="O43" s="54">
        <v>32</v>
      </c>
      <c r="P43" s="54"/>
      <c r="Q43" s="54">
        <v>1</v>
      </c>
      <c r="R43" s="34">
        <v>10115</v>
      </c>
      <c r="S43" s="71">
        <v>1</v>
      </c>
      <c r="T43" s="31">
        <f t="shared" si="5"/>
        <v>0.977</v>
      </c>
      <c r="U43" s="71">
        <v>0.942</v>
      </c>
      <c r="V43" s="72">
        <v>48</v>
      </c>
      <c r="W43" s="28">
        <f t="shared" si="6"/>
        <v>52.9</v>
      </c>
      <c r="X43" s="36">
        <f t="shared" si="11"/>
        <v>113.2</v>
      </c>
      <c r="Y43" s="36">
        <f t="shared" si="7"/>
        <v>0</v>
      </c>
      <c r="Z43" s="36">
        <f t="shared" si="8"/>
        <v>9.3</v>
      </c>
      <c r="AA43" s="36">
        <f t="shared" si="0"/>
        <v>122.5</v>
      </c>
      <c r="AB43" s="74">
        <v>122.5</v>
      </c>
      <c r="AC43" s="24">
        <f t="shared" si="9"/>
        <v>0</v>
      </c>
      <c r="AD43" s="112">
        <f t="shared" si="10"/>
        <v>1</v>
      </c>
    </row>
    <row r="44" spans="1:30" s="26" customFormat="1" ht="16.5" customHeight="1">
      <c r="A44" s="29">
        <v>37</v>
      </c>
      <c r="B44" s="25" t="s">
        <v>36</v>
      </c>
      <c r="C44" s="63"/>
      <c r="D44" s="52"/>
      <c r="E44" s="53"/>
      <c r="F44" s="34">
        <v>8889</v>
      </c>
      <c r="G44" s="31">
        <v>1</v>
      </c>
      <c r="H44" s="71">
        <v>0.738</v>
      </c>
      <c r="I44" s="71">
        <f t="shared" si="1"/>
        <v>1.023</v>
      </c>
      <c r="J44" s="23">
        <v>48</v>
      </c>
      <c r="K44" s="28">
        <v>52.9</v>
      </c>
      <c r="L44" s="28">
        <f t="shared" si="2"/>
        <v>0</v>
      </c>
      <c r="M44" s="28">
        <f t="shared" si="3"/>
        <v>0</v>
      </c>
      <c r="N44" s="28">
        <f t="shared" si="4"/>
        <v>0</v>
      </c>
      <c r="O44" s="54">
        <v>20</v>
      </c>
      <c r="P44" s="54"/>
      <c r="Q44" s="54"/>
      <c r="R44" s="34">
        <v>10115</v>
      </c>
      <c r="S44" s="71">
        <v>1</v>
      </c>
      <c r="T44" s="31">
        <f t="shared" si="5"/>
        <v>0.738</v>
      </c>
      <c r="U44" s="71">
        <v>1.023</v>
      </c>
      <c r="V44" s="72">
        <v>48</v>
      </c>
      <c r="W44" s="28">
        <f t="shared" si="6"/>
        <v>52.9</v>
      </c>
      <c r="X44" s="36">
        <f t="shared" si="11"/>
        <v>58</v>
      </c>
      <c r="Y44" s="36">
        <f t="shared" si="7"/>
        <v>0</v>
      </c>
      <c r="Z44" s="36">
        <f t="shared" si="8"/>
        <v>0</v>
      </c>
      <c r="AA44" s="36">
        <f t="shared" si="0"/>
        <v>58</v>
      </c>
      <c r="AB44" s="74">
        <v>58</v>
      </c>
      <c r="AC44" s="24">
        <f t="shared" si="9"/>
        <v>0</v>
      </c>
      <c r="AD44" s="112">
        <f t="shared" si="10"/>
        <v>1</v>
      </c>
    </row>
    <row r="45" spans="1:30" s="26" customFormat="1" ht="15" customHeight="1">
      <c r="A45" s="29">
        <v>38</v>
      </c>
      <c r="B45" s="25" t="s">
        <v>37</v>
      </c>
      <c r="C45" s="63"/>
      <c r="D45" s="52"/>
      <c r="E45" s="53"/>
      <c r="F45" s="34">
        <v>8889</v>
      </c>
      <c r="G45" s="31">
        <v>1</v>
      </c>
      <c r="H45" s="71">
        <v>1.055</v>
      </c>
      <c r="I45" s="71">
        <f t="shared" si="1"/>
        <v>0.818</v>
      </c>
      <c r="J45" s="27">
        <v>48</v>
      </c>
      <c r="K45" s="28">
        <v>52.9</v>
      </c>
      <c r="L45" s="28">
        <f t="shared" si="2"/>
        <v>0</v>
      </c>
      <c r="M45" s="28">
        <f t="shared" si="3"/>
        <v>0</v>
      </c>
      <c r="N45" s="28">
        <f t="shared" si="4"/>
        <v>0</v>
      </c>
      <c r="O45" s="54">
        <v>33</v>
      </c>
      <c r="P45" s="54"/>
      <c r="Q45" s="54">
        <v>1</v>
      </c>
      <c r="R45" s="34">
        <v>10115</v>
      </c>
      <c r="S45" s="71">
        <v>1</v>
      </c>
      <c r="T45" s="31">
        <f t="shared" si="5"/>
        <v>1.055</v>
      </c>
      <c r="U45" s="71">
        <v>0.818</v>
      </c>
      <c r="V45" s="73">
        <v>48</v>
      </c>
      <c r="W45" s="28">
        <f t="shared" si="6"/>
        <v>52.9</v>
      </c>
      <c r="X45" s="36">
        <f>ROUND((O45*R45*S45/1000-O45*W45/100*V45*247/1000)*T45*U45,1)+0.1</f>
        <v>109.5</v>
      </c>
      <c r="Y45" s="36">
        <f t="shared" si="7"/>
        <v>0</v>
      </c>
      <c r="Z45" s="36">
        <f t="shared" si="8"/>
        <v>8.7</v>
      </c>
      <c r="AA45" s="36">
        <f t="shared" si="0"/>
        <v>118.2</v>
      </c>
      <c r="AB45" s="74">
        <v>118.2</v>
      </c>
      <c r="AC45" s="24">
        <f t="shared" si="9"/>
        <v>0</v>
      </c>
      <c r="AD45" s="112">
        <f t="shared" si="10"/>
        <v>1</v>
      </c>
    </row>
    <row r="46" spans="1:30" s="24" customFormat="1" ht="15.75" customHeight="1">
      <c r="A46" s="29">
        <v>39</v>
      </c>
      <c r="B46" s="22" t="s">
        <v>38</v>
      </c>
      <c r="C46" s="52"/>
      <c r="D46" s="52"/>
      <c r="E46" s="53"/>
      <c r="F46" s="34">
        <v>8889</v>
      </c>
      <c r="G46" s="31">
        <v>1</v>
      </c>
      <c r="H46" s="71">
        <v>0.812</v>
      </c>
      <c r="I46" s="71">
        <f t="shared" si="1"/>
        <v>0.962</v>
      </c>
      <c r="J46" s="23">
        <v>48</v>
      </c>
      <c r="K46" s="28">
        <v>52.9</v>
      </c>
      <c r="L46" s="28">
        <f t="shared" si="2"/>
        <v>0</v>
      </c>
      <c r="M46" s="28">
        <f t="shared" si="3"/>
        <v>0</v>
      </c>
      <c r="N46" s="28">
        <f t="shared" si="4"/>
        <v>0</v>
      </c>
      <c r="O46" s="54">
        <v>67</v>
      </c>
      <c r="P46" s="54"/>
      <c r="Q46" s="54"/>
      <c r="R46" s="34">
        <v>10115</v>
      </c>
      <c r="S46" s="71">
        <v>1</v>
      </c>
      <c r="T46" s="31">
        <f t="shared" si="5"/>
        <v>0.812</v>
      </c>
      <c r="U46" s="71">
        <v>0.962</v>
      </c>
      <c r="V46" s="72">
        <v>48</v>
      </c>
      <c r="W46" s="28">
        <f t="shared" si="6"/>
        <v>52.9</v>
      </c>
      <c r="X46" s="36">
        <f>ROUND((O46*R46*S46/1000-O46*W46/100*V46*247/1000)*T46*U46,1)+0.1</f>
        <v>201.2</v>
      </c>
      <c r="Y46" s="36">
        <f t="shared" si="7"/>
        <v>0</v>
      </c>
      <c r="Z46" s="36">
        <f t="shared" si="8"/>
        <v>0</v>
      </c>
      <c r="AA46" s="36">
        <f t="shared" si="0"/>
        <v>201.2</v>
      </c>
      <c r="AB46" s="74">
        <v>201.2</v>
      </c>
      <c r="AC46" s="24">
        <f t="shared" si="9"/>
        <v>0</v>
      </c>
      <c r="AD46" s="112">
        <f t="shared" si="10"/>
        <v>1</v>
      </c>
    </row>
    <row r="47" spans="1:30" s="24" customFormat="1" ht="15.75">
      <c r="A47" s="29">
        <v>40</v>
      </c>
      <c r="B47" s="22" t="s">
        <v>39</v>
      </c>
      <c r="C47" s="52"/>
      <c r="D47" s="52"/>
      <c r="E47" s="53"/>
      <c r="F47" s="34">
        <v>8889</v>
      </c>
      <c r="G47" s="31">
        <v>1</v>
      </c>
      <c r="H47" s="71">
        <v>1.03</v>
      </c>
      <c r="I47" s="71">
        <f t="shared" si="1"/>
        <v>1.006</v>
      </c>
      <c r="J47" s="23">
        <v>48</v>
      </c>
      <c r="K47" s="28">
        <v>52.9</v>
      </c>
      <c r="L47" s="28">
        <f t="shared" si="2"/>
        <v>0</v>
      </c>
      <c r="M47" s="28">
        <f t="shared" si="3"/>
        <v>0</v>
      </c>
      <c r="N47" s="28">
        <f t="shared" si="4"/>
        <v>0</v>
      </c>
      <c r="O47" s="54">
        <v>12</v>
      </c>
      <c r="P47" s="54"/>
      <c r="Q47" s="54"/>
      <c r="R47" s="34">
        <v>10115</v>
      </c>
      <c r="S47" s="71">
        <v>1</v>
      </c>
      <c r="T47" s="31">
        <f t="shared" si="5"/>
        <v>1.03</v>
      </c>
      <c r="U47" s="71">
        <v>1.006</v>
      </c>
      <c r="V47" s="72">
        <v>48</v>
      </c>
      <c r="W47" s="28">
        <f t="shared" si="6"/>
        <v>52.9</v>
      </c>
      <c r="X47" s="36">
        <f t="shared" si="11"/>
        <v>47.8</v>
      </c>
      <c r="Y47" s="36">
        <f t="shared" si="7"/>
        <v>0</v>
      </c>
      <c r="Z47" s="36">
        <f t="shared" si="8"/>
        <v>0</v>
      </c>
      <c r="AA47" s="36">
        <f t="shared" si="0"/>
        <v>47.8</v>
      </c>
      <c r="AB47" s="74">
        <v>47.8</v>
      </c>
      <c r="AC47" s="24">
        <f t="shared" si="9"/>
        <v>0</v>
      </c>
      <c r="AD47" s="112">
        <f t="shared" si="10"/>
        <v>1</v>
      </c>
    </row>
    <row r="48" spans="1:30" s="24" customFormat="1" ht="15.75">
      <c r="A48" s="29">
        <v>41</v>
      </c>
      <c r="B48" s="22" t="s">
        <v>22</v>
      </c>
      <c r="C48" s="68"/>
      <c r="D48" s="68"/>
      <c r="E48" s="68"/>
      <c r="F48" s="34">
        <v>8889</v>
      </c>
      <c r="G48" s="31">
        <v>1</v>
      </c>
      <c r="H48" s="71">
        <v>1.041</v>
      </c>
      <c r="I48" s="71">
        <f t="shared" si="1"/>
        <v>1.103</v>
      </c>
      <c r="J48" s="23">
        <v>48</v>
      </c>
      <c r="K48" s="28">
        <v>52.9</v>
      </c>
      <c r="L48" s="28">
        <f t="shared" si="2"/>
        <v>0</v>
      </c>
      <c r="M48" s="28">
        <f t="shared" si="3"/>
        <v>0</v>
      </c>
      <c r="N48" s="28">
        <f t="shared" si="4"/>
        <v>0</v>
      </c>
      <c r="O48" s="68">
        <v>39</v>
      </c>
      <c r="P48" s="68"/>
      <c r="Q48" s="68"/>
      <c r="R48" s="34">
        <v>10115</v>
      </c>
      <c r="S48" s="71">
        <v>1</v>
      </c>
      <c r="T48" s="31">
        <f t="shared" si="5"/>
        <v>1.041</v>
      </c>
      <c r="U48" s="71">
        <v>1.103</v>
      </c>
      <c r="V48" s="72">
        <v>48</v>
      </c>
      <c r="W48" s="28">
        <f t="shared" si="6"/>
        <v>52.9</v>
      </c>
      <c r="X48" s="36">
        <f t="shared" si="11"/>
        <v>172.1</v>
      </c>
      <c r="Y48" s="36">
        <f t="shared" si="7"/>
        <v>0</v>
      </c>
      <c r="Z48" s="36">
        <f t="shared" si="8"/>
        <v>0</v>
      </c>
      <c r="AA48" s="36">
        <f t="shared" si="0"/>
        <v>172.1</v>
      </c>
      <c r="AB48" s="74">
        <v>172.1</v>
      </c>
      <c r="AC48" s="24">
        <f t="shared" si="9"/>
        <v>0</v>
      </c>
      <c r="AD48" s="112">
        <f t="shared" si="10"/>
        <v>1</v>
      </c>
    </row>
    <row r="49" spans="1:30" s="24" customFormat="1" ht="15.75">
      <c r="A49" s="29">
        <v>42</v>
      </c>
      <c r="B49" s="22" t="s">
        <v>40</v>
      </c>
      <c r="C49" s="52"/>
      <c r="D49" s="52"/>
      <c r="E49" s="53"/>
      <c r="F49" s="34">
        <v>8889</v>
      </c>
      <c r="G49" s="31">
        <v>1</v>
      </c>
      <c r="H49" s="71">
        <v>1.036</v>
      </c>
      <c r="I49" s="71">
        <f t="shared" si="1"/>
        <v>1.168</v>
      </c>
      <c r="J49" s="23">
        <v>48</v>
      </c>
      <c r="K49" s="28">
        <v>52.9</v>
      </c>
      <c r="L49" s="28">
        <f t="shared" si="2"/>
        <v>0</v>
      </c>
      <c r="M49" s="28">
        <f t="shared" si="3"/>
        <v>0</v>
      </c>
      <c r="N49" s="28">
        <f t="shared" si="4"/>
        <v>0</v>
      </c>
      <c r="O49" s="54">
        <v>20</v>
      </c>
      <c r="P49" s="54"/>
      <c r="Q49" s="54"/>
      <c r="R49" s="34">
        <v>10115</v>
      </c>
      <c r="S49" s="71">
        <v>1</v>
      </c>
      <c r="T49" s="31">
        <f t="shared" si="5"/>
        <v>1.036</v>
      </c>
      <c r="U49" s="71">
        <v>1.168</v>
      </c>
      <c r="V49" s="72">
        <v>48</v>
      </c>
      <c r="W49" s="28">
        <f t="shared" si="6"/>
        <v>52.9</v>
      </c>
      <c r="X49" s="36">
        <f t="shared" si="11"/>
        <v>93</v>
      </c>
      <c r="Y49" s="36">
        <f t="shared" si="7"/>
        <v>0</v>
      </c>
      <c r="Z49" s="36">
        <f t="shared" si="8"/>
        <v>0</v>
      </c>
      <c r="AA49" s="36">
        <f t="shared" si="0"/>
        <v>93</v>
      </c>
      <c r="AB49" s="74">
        <v>93</v>
      </c>
      <c r="AC49" s="24">
        <f t="shared" si="9"/>
        <v>0</v>
      </c>
      <c r="AD49" s="112">
        <f t="shared" si="10"/>
        <v>1</v>
      </c>
    </row>
    <row r="50" spans="1:30" s="24" customFormat="1" ht="15.75">
      <c r="A50" s="29">
        <v>43</v>
      </c>
      <c r="B50" s="22" t="s">
        <v>41</v>
      </c>
      <c r="C50" s="52"/>
      <c r="D50" s="52"/>
      <c r="E50" s="53"/>
      <c r="F50" s="34">
        <v>8889</v>
      </c>
      <c r="G50" s="31">
        <v>1</v>
      </c>
      <c r="H50" s="71">
        <v>1.377</v>
      </c>
      <c r="I50" s="71">
        <f t="shared" si="1"/>
        <v>0.969</v>
      </c>
      <c r="J50" s="23">
        <v>48</v>
      </c>
      <c r="K50" s="28">
        <v>52.9</v>
      </c>
      <c r="L50" s="28">
        <f t="shared" si="2"/>
        <v>0</v>
      </c>
      <c r="M50" s="28">
        <f t="shared" si="3"/>
        <v>0</v>
      </c>
      <c r="N50" s="28">
        <f t="shared" si="4"/>
        <v>0</v>
      </c>
      <c r="O50" s="54">
        <v>8</v>
      </c>
      <c r="P50" s="54"/>
      <c r="Q50" s="54"/>
      <c r="R50" s="34">
        <v>10115</v>
      </c>
      <c r="S50" s="71">
        <v>1</v>
      </c>
      <c r="T50" s="31">
        <f t="shared" si="5"/>
        <v>1.377</v>
      </c>
      <c r="U50" s="71">
        <v>0.969</v>
      </c>
      <c r="V50" s="72">
        <v>48</v>
      </c>
      <c r="W50" s="28">
        <f t="shared" si="6"/>
        <v>52.9</v>
      </c>
      <c r="X50" s="36">
        <f t="shared" si="11"/>
        <v>41</v>
      </c>
      <c r="Y50" s="36">
        <f t="shared" si="7"/>
        <v>0</v>
      </c>
      <c r="Z50" s="36">
        <f t="shared" si="8"/>
        <v>0</v>
      </c>
      <c r="AA50" s="36">
        <f t="shared" si="0"/>
        <v>41</v>
      </c>
      <c r="AB50" s="74">
        <v>41</v>
      </c>
      <c r="AC50" s="24">
        <f t="shared" si="9"/>
        <v>0</v>
      </c>
      <c r="AD50" s="112">
        <f t="shared" si="10"/>
        <v>1</v>
      </c>
    </row>
    <row r="51" spans="1:30" s="24" customFormat="1" ht="15.75">
      <c r="A51" s="29">
        <v>44</v>
      </c>
      <c r="B51" s="22" t="s">
        <v>42</v>
      </c>
      <c r="C51" s="52"/>
      <c r="D51" s="52"/>
      <c r="E51" s="53"/>
      <c r="F51" s="34">
        <v>8889</v>
      </c>
      <c r="G51" s="31">
        <v>1</v>
      </c>
      <c r="H51" s="71">
        <v>1.012</v>
      </c>
      <c r="I51" s="71">
        <f t="shared" si="1"/>
        <v>1.196</v>
      </c>
      <c r="J51" s="23">
        <v>48</v>
      </c>
      <c r="K51" s="28">
        <v>52.9</v>
      </c>
      <c r="L51" s="28">
        <f t="shared" si="2"/>
        <v>0</v>
      </c>
      <c r="M51" s="28">
        <f t="shared" si="3"/>
        <v>0</v>
      </c>
      <c r="N51" s="28">
        <f t="shared" si="4"/>
        <v>0</v>
      </c>
      <c r="O51" s="54">
        <v>14</v>
      </c>
      <c r="P51" s="54"/>
      <c r="Q51" s="54"/>
      <c r="R51" s="34">
        <v>10115</v>
      </c>
      <c r="S51" s="71">
        <v>1</v>
      </c>
      <c r="T51" s="31">
        <f t="shared" si="5"/>
        <v>1.012</v>
      </c>
      <c r="U51" s="71">
        <v>1.196</v>
      </c>
      <c r="V51" s="72">
        <v>48</v>
      </c>
      <c r="W51" s="28">
        <f t="shared" si="6"/>
        <v>52.9</v>
      </c>
      <c r="X51" s="36">
        <f>ROUND((O51*R51*S51/1000-O51*W51/100*V51*247/1000)*T51*U51,1)+0.1</f>
        <v>65.19999999999999</v>
      </c>
      <c r="Y51" s="36">
        <f t="shared" si="7"/>
        <v>0</v>
      </c>
      <c r="Z51" s="36">
        <f t="shared" si="8"/>
        <v>0</v>
      </c>
      <c r="AA51" s="36">
        <f t="shared" si="0"/>
        <v>65.19999999999999</v>
      </c>
      <c r="AB51" s="74">
        <v>65.2</v>
      </c>
      <c r="AC51" s="24">
        <f t="shared" si="9"/>
        <v>0</v>
      </c>
      <c r="AD51" s="112">
        <f t="shared" si="10"/>
        <v>1</v>
      </c>
    </row>
    <row r="52" spans="1:30" s="24" customFormat="1" ht="15.75">
      <c r="A52" s="29">
        <v>45</v>
      </c>
      <c r="B52" s="22" t="s">
        <v>23</v>
      </c>
      <c r="C52" s="52"/>
      <c r="D52" s="52"/>
      <c r="E52" s="53"/>
      <c r="F52" s="34">
        <v>8889</v>
      </c>
      <c r="G52" s="31">
        <v>1</v>
      </c>
      <c r="H52" s="71">
        <v>0.587</v>
      </c>
      <c r="I52" s="71">
        <f t="shared" si="1"/>
        <v>1.467</v>
      </c>
      <c r="J52" s="23">
        <v>48</v>
      </c>
      <c r="K52" s="28">
        <v>52.9</v>
      </c>
      <c r="L52" s="28">
        <f t="shared" si="2"/>
        <v>0</v>
      </c>
      <c r="M52" s="28">
        <f t="shared" si="3"/>
        <v>0</v>
      </c>
      <c r="N52" s="28">
        <f t="shared" si="4"/>
        <v>0</v>
      </c>
      <c r="O52" s="54">
        <v>20</v>
      </c>
      <c r="P52" s="54"/>
      <c r="Q52" s="54">
        <v>1</v>
      </c>
      <c r="R52" s="34">
        <v>10115</v>
      </c>
      <c r="S52" s="71">
        <v>1</v>
      </c>
      <c r="T52" s="31">
        <f t="shared" si="5"/>
        <v>0.587</v>
      </c>
      <c r="U52" s="71">
        <v>1.467</v>
      </c>
      <c r="V52" s="72">
        <v>48</v>
      </c>
      <c r="W52" s="28">
        <f t="shared" si="6"/>
        <v>52.9</v>
      </c>
      <c r="X52" s="36">
        <f>ROUND((O52*R52*S52/1000-O52*W52/100*V52*247/1000)*T52*U52,1)-0.1</f>
        <v>66.10000000000001</v>
      </c>
      <c r="Y52" s="36">
        <f t="shared" si="7"/>
        <v>0</v>
      </c>
      <c r="Z52" s="36">
        <f t="shared" si="8"/>
        <v>8.7</v>
      </c>
      <c r="AA52" s="36">
        <f t="shared" si="0"/>
        <v>74.80000000000001</v>
      </c>
      <c r="AB52" s="74">
        <v>74.8</v>
      </c>
      <c r="AC52" s="24">
        <f t="shared" si="9"/>
        <v>0</v>
      </c>
      <c r="AD52" s="112">
        <f t="shared" si="10"/>
        <v>1</v>
      </c>
    </row>
    <row r="53" spans="1:30" s="24" customFormat="1" ht="15.75">
      <c r="A53" s="29">
        <v>46</v>
      </c>
      <c r="B53" s="22" t="s">
        <v>43</v>
      </c>
      <c r="C53" s="52"/>
      <c r="D53" s="52"/>
      <c r="E53" s="53"/>
      <c r="F53" s="34">
        <v>8889</v>
      </c>
      <c r="G53" s="31">
        <v>1</v>
      </c>
      <c r="H53" s="71">
        <v>0.935</v>
      </c>
      <c r="I53" s="71">
        <f t="shared" si="1"/>
        <v>0.999</v>
      </c>
      <c r="J53" s="23">
        <v>48</v>
      </c>
      <c r="K53" s="28">
        <v>52.9</v>
      </c>
      <c r="L53" s="28">
        <f t="shared" si="2"/>
        <v>0</v>
      </c>
      <c r="M53" s="28">
        <f t="shared" si="3"/>
        <v>0</v>
      </c>
      <c r="N53" s="28">
        <f t="shared" si="4"/>
        <v>0</v>
      </c>
      <c r="O53" s="54">
        <v>21</v>
      </c>
      <c r="P53" s="54"/>
      <c r="Q53" s="54"/>
      <c r="R53" s="34">
        <v>10115</v>
      </c>
      <c r="S53" s="71">
        <v>1</v>
      </c>
      <c r="T53" s="31">
        <f t="shared" si="5"/>
        <v>0.935</v>
      </c>
      <c r="U53" s="71">
        <v>0.999</v>
      </c>
      <c r="V53" s="72">
        <v>48</v>
      </c>
      <c r="W53" s="28">
        <f t="shared" si="6"/>
        <v>52.9</v>
      </c>
      <c r="X53" s="36">
        <f t="shared" si="11"/>
        <v>75.4</v>
      </c>
      <c r="Y53" s="36">
        <f t="shared" si="7"/>
        <v>0</v>
      </c>
      <c r="Z53" s="36">
        <f t="shared" si="8"/>
        <v>0</v>
      </c>
      <c r="AA53" s="36">
        <f t="shared" si="0"/>
        <v>75.4</v>
      </c>
      <c r="AB53" s="74">
        <v>75.4</v>
      </c>
      <c r="AC53" s="24">
        <f t="shared" si="9"/>
        <v>0</v>
      </c>
      <c r="AD53" s="112">
        <f t="shared" si="10"/>
        <v>1</v>
      </c>
    </row>
    <row r="54" spans="1:30" s="24" customFormat="1" ht="34.5" customHeight="1">
      <c r="A54" s="29">
        <v>47</v>
      </c>
      <c r="B54" s="25" t="s">
        <v>44</v>
      </c>
      <c r="C54" s="63"/>
      <c r="D54" s="52"/>
      <c r="E54" s="53"/>
      <c r="F54" s="34">
        <v>8889</v>
      </c>
      <c r="G54" s="31">
        <v>1</v>
      </c>
      <c r="H54" s="71">
        <v>0.73</v>
      </c>
      <c r="I54" s="71">
        <f t="shared" si="1"/>
        <v>1.875</v>
      </c>
      <c r="J54" s="23">
        <v>48</v>
      </c>
      <c r="K54" s="28">
        <v>52.9</v>
      </c>
      <c r="L54" s="28">
        <f t="shared" si="2"/>
        <v>0</v>
      </c>
      <c r="M54" s="28">
        <f t="shared" si="3"/>
        <v>0</v>
      </c>
      <c r="N54" s="28">
        <f t="shared" si="4"/>
        <v>0</v>
      </c>
      <c r="O54" s="68">
        <v>10</v>
      </c>
      <c r="P54" s="54"/>
      <c r="Q54" s="54"/>
      <c r="R54" s="34">
        <v>10115</v>
      </c>
      <c r="S54" s="71">
        <v>1</v>
      </c>
      <c r="T54" s="31">
        <f t="shared" si="5"/>
        <v>0.73</v>
      </c>
      <c r="U54" s="71">
        <v>1.875</v>
      </c>
      <c r="V54" s="72">
        <v>48</v>
      </c>
      <c r="W54" s="28">
        <f t="shared" si="6"/>
        <v>52.9</v>
      </c>
      <c r="X54" s="36">
        <f>ROUND((O54*R54*S54/1000-O54*W54/100*V54*247/1000)*T54*U54,1)+0.1</f>
        <v>52.7</v>
      </c>
      <c r="Y54" s="36">
        <f t="shared" si="7"/>
        <v>0</v>
      </c>
      <c r="Z54" s="36">
        <f t="shared" si="8"/>
        <v>0</v>
      </c>
      <c r="AA54" s="36">
        <f t="shared" si="0"/>
        <v>52.7</v>
      </c>
      <c r="AB54" s="74">
        <v>52.7</v>
      </c>
      <c r="AC54" s="24">
        <f t="shared" si="9"/>
        <v>0</v>
      </c>
      <c r="AD54" s="112">
        <f t="shared" si="10"/>
        <v>1</v>
      </c>
    </row>
    <row r="55" spans="1:30" s="26" customFormat="1" ht="31.5">
      <c r="A55" s="29">
        <v>48</v>
      </c>
      <c r="B55" s="25" t="s">
        <v>45</v>
      </c>
      <c r="C55" s="63"/>
      <c r="D55" s="63"/>
      <c r="E55" s="64"/>
      <c r="F55" s="34">
        <v>8889</v>
      </c>
      <c r="G55" s="31">
        <v>1</v>
      </c>
      <c r="H55" s="71">
        <v>0.645</v>
      </c>
      <c r="I55" s="71">
        <f t="shared" si="1"/>
        <v>1.014</v>
      </c>
      <c r="J55" s="23">
        <v>48</v>
      </c>
      <c r="K55" s="28">
        <v>52.9</v>
      </c>
      <c r="L55" s="28">
        <f t="shared" si="2"/>
        <v>0</v>
      </c>
      <c r="M55" s="28">
        <f t="shared" si="3"/>
        <v>0</v>
      </c>
      <c r="N55" s="28">
        <f t="shared" si="4"/>
        <v>0</v>
      </c>
      <c r="O55" s="68">
        <v>20</v>
      </c>
      <c r="P55" s="54"/>
      <c r="Q55" s="54"/>
      <c r="R55" s="34">
        <v>10115</v>
      </c>
      <c r="S55" s="71">
        <v>1</v>
      </c>
      <c r="T55" s="31">
        <f t="shared" si="5"/>
        <v>0.645</v>
      </c>
      <c r="U55" s="71">
        <v>1.014</v>
      </c>
      <c r="V55" s="72">
        <v>48</v>
      </c>
      <c r="W55" s="28">
        <f t="shared" si="6"/>
        <v>52.9</v>
      </c>
      <c r="X55" s="36">
        <f t="shared" si="11"/>
        <v>50.3</v>
      </c>
      <c r="Y55" s="36">
        <f t="shared" si="7"/>
        <v>0</v>
      </c>
      <c r="Z55" s="36">
        <f t="shared" si="8"/>
        <v>0</v>
      </c>
      <c r="AA55" s="36">
        <f t="shared" si="0"/>
        <v>50.3</v>
      </c>
      <c r="AB55" s="74">
        <v>50.3</v>
      </c>
      <c r="AC55" s="24">
        <f t="shared" si="9"/>
        <v>0</v>
      </c>
      <c r="AD55" s="112">
        <f t="shared" si="10"/>
        <v>1</v>
      </c>
    </row>
    <row r="56" spans="1:29" s="42" customFormat="1" ht="51.75" customHeight="1">
      <c r="A56" s="140"/>
      <c r="B56" s="141" t="s">
        <v>73</v>
      </c>
      <c r="C56" s="142">
        <f>SUM(C8:C55)</f>
        <v>580</v>
      </c>
      <c r="D56" s="142">
        <f>SUM(D8:D55)</f>
        <v>1</v>
      </c>
      <c r="E56" s="142">
        <f>SUM(E8:E55)</f>
        <v>2</v>
      </c>
      <c r="F56" s="108"/>
      <c r="G56" s="145"/>
      <c r="H56" s="145"/>
      <c r="I56" s="145"/>
      <c r="J56" s="150"/>
      <c r="K56" s="151"/>
      <c r="L56" s="150">
        <f aca="true" t="shared" si="12" ref="L56:Q56">SUM(L8:L55)</f>
        <v>2724.1</v>
      </c>
      <c r="M56" s="150">
        <f t="shared" si="12"/>
        <v>8.6</v>
      </c>
      <c r="N56" s="150">
        <f t="shared" si="12"/>
        <v>25.299999999999997</v>
      </c>
      <c r="O56" s="142">
        <f t="shared" si="12"/>
        <v>3154</v>
      </c>
      <c r="P56" s="142">
        <f t="shared" si="12"/>
        <v>28</v>
      </c>
      <c r="Q56" s="142">
        <f t="shared" si="12"/>
        <v>24</v>
      </c>
      <c r="R56" s="108"/>
      <c r="S56" s="143"/>
      <c r="T56" s="143"/>
      <c r="U56" s="143"/>
      <c r="V56" s="113"/>
      <c r="W56" s="151"/>
      <c r="X56" s="113">
        <f aca="true" t="shared" si="13" ref="X56:AC56">SUM(X8:X55)</f>
        <v>15555.199999999999</v>
      </c>
      <c r="Y56" s="113">
        <f t="shared" si="13"/>
        <v>338.80000000000007</v>
      </c>
      <c r="Z56" s="113">
        <f t="shared" si="13"/>
        <v>317.9</v>
      </c>
      <c r="AA56" s="113">
        <f t="shared" si="13"/>
        <v>18969.899999999998</v>
      </c>
      <c r="AB56" s="95">
        <f t="shared" si="13"/>
        <v>18969.899999999998</v>
      </c>
      <c r="AC56" s="95">
        <f t="shared" si="13"/>
        <v>0</v>
      </c>
    </row>
    <row r="57" spans="1:27" s="101" customFormat="1" ht="15.75">
      <c r="A57" s="75"/>
      <c r="B57" s="76"/>
      <c r="C57" s="77"/>
      <c r="D57" s="88"/>
      <c r="E57" s="88"/>
      <c r="F57" s="77"/>
      <c r="G57" s="96"/>
      <c r="H57" s="96"/>
      <c r="I57" s="96"/>
      <c r="J57" s="78"/>
      <c r="K57" s="79"/>
      <c r="L57" s="97"/>
      <c r="M57" s="97"/>
      <c r="N57" s="97"/>
      <c r="O57" s="77"/>
      <c r="P57" s="77"/>
      <c r="Q57" s="98"/>
      <c r="R57" s="77"/>
      <c r="S57" s="99"/>
      <c r="T57" s="99"/>
      <c r="U57" s="99"/>
      <c r="V57" s="82"/>
      <c r="W57" s="79"/>
      <c r="X57" s="100"/>
      <c r="Y57" s="100"/>
      <c r="Z57" s="100"/>
      <c r="AA57" s="100"/>
    </row>
    <row r="58" spans="1:27" s="101" customFormat="1" ht="15.75">
      <c r="A58" s="75"/>
      <c r="B58" s="76"/>
      <c r="C58" s="88"/>
      <c r="D58" s="88"/>
      <c r="E58" s="88"/>
      <c r="F58" s="77"/>
      <c r="G58" s="96"/>
      <c r="H58" s="96"/>
      <c r="I58" s="96"/>
      <c r="J58" s="78"/>
      <c r="K58" s="79"/>
      <c r="L58" s="97"/>
      <c r="M58" s="97"/>
      <c r="N58" s="97"/>
      <c r="O58" s="77"/>
      <c r="P58" s="88"/>
      <c r="Q58" s="102"/>
      <c r="R58" s="77"/>
      <c r="S58" s="99"/>
      <c r="T58" s="99"/>
      <c r="U58" s="99"/>
      <c r="V58" s="82"/>
      <c r="W58" s="79"/>
      <c r="X58" s="100"/>
      <c r="Y58" s="100"/>
      <c r="Z58" s="100"/>
      <c r="AA58" s="100"/>
    </row>
    <row r="59" spans="1:27" s="104" customFormat="1" ht="15.75">
      <c r="A59" s="86"/>
      <c r="B59" s="87"/>
      <c r="C59" s="88"/>
      <c r="D59" s="88"/>
      <c r="E59" s="88"/>
      <c r="F59" s="90"/>
      <c r="G59" s="90"/>
      <c r="H59" s="90"/>
      <c r="I59" s="90"/>
      <c r="J59" s="89"/>
      <c r="K59" s="89"/>
      <c r="L59" s="89"/>
      <c r="M59" s="89"/>
      <c r="N59" s="89"/>
      <c r="O59" s="88"/>
      <c r="P59" s="88"/>
      <c r="Q59" s="88"/>
      <c r="R59" s="90"/>
      <c r="S59" s="90"/>
      <c r="T59" s="90"/>
      <c r="U59" s="90"/>
      <c r="V59" s="103"/>
      <c r="W59" s="103"/>
      <c r="X59" s="103"/>
      <c r="Y59" s="103"/>
      <c r="Z59" s="103"/>
      <c r="AA59" s="103"/>
    </row>
    <row r="60" spans="1:22" ht="18" customHeight="1">
      <c r="A60" s="18"/>
      <c r="B60" s="19"/>
      <c r="C60" s="19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5.75">
      <c r="A61" s="3"/>
      <c r="B61" s="4"/>
      <c r="C61" s="4"/>
      <c r="D61" s="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75">
      <c r="A62" s="3"/>
      <c r="B62" s="4"/>
      <c r="C62" s="4"/>
      <c r="D62" s="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5"/>
      <c r="P62" s="5"/>
      <c r="Q62" s="5"/>
      <c r="R62" s="5"/>
      <c r="S62" s="5"/>
      <c r="T62" s="5"/>
      <c r="U62" s="5"/>
      <c r="V62" s="5"/>
    </row>
    <row r="63" spans="1:22" ht="15.75">
      <c r="A63" s="3"/>
      <c r="B63" s="4"/>
      <c r="C63" s="4"/>
      <c r="D63" s="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5"/>
      <c r="P63" s="5"/>
      <c r="Q63" s="5"/>
      <c r="R63" s="5"/>
      <c r="S63" s="5"/>
      <c r="T63" s="5"/>
      <c r="U63" s="5"/>
      <c r="V63" s="5"/>
    </row>
    <row r="64" spans="1:22" ht="15.75">
      <c r="A64" s="3"/>
      <c r="B64" s="4"/>
      <c r="C64" s="4"/>
      <c r="D64" s="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5"/>
      <c r="P64" s="5"/>
      <c r="Q64" s="5"/>
      <c r="R64" s="5"/>
      <c r="S64" s="5"/>
      <c r="T64" s="5"/>
      <c r="U64" s="5"/>
      <c r="V64" s="5"/>
    </row>
    <row r="65" spans="1:22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/>
      <c r="P65" s="5"/>
      <c r="Q65" s="5"/>
      <c r="R65" s="5"/>
      <c r="S65" s="5"/>
      <c r="T65" s="5"/>
      <c r="U65" s="5"/>
      <c r="V65" s="5"/>
    </row>
    <row r="66" spans="1:22" ht="15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/>
      <c r="P66" s="5"/>
      <c r="Q66" s="5"/>
      <c r="R66" s="5"/>
      <c r="S66" s="5"/>
      <c r="T66" s="5"/>
      <c r="U66" s="5"/>
      <c r="V66" s="5"/>
    </row>
    <row r="67" spans="1:22" ht="16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5"/>
      <c r="V67" s="5"/>
    </row>
    <row r="68" spans="1:2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5"/>
      <c r="Q68" s="5"/>
      <c r="R68" s="5"/>
      <c r="S68" s="5"/>
      <c r="T68" s="5"/>
      <c r="U68" s="5"/>
      <c r="V68" s="5"/>
    </row>
    <row r="69" spans="1:2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5"/>
      <c r="Q69" s="5"/>
      <c r="R69" s="5"/>
      <c r="S69" s="5"/>
      <c r="T69" s="5"/>
      <c r="U69" s="5"/>
      <c r="V69" s="5"/>
    </row>
    <row r="70" spans="1:2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5"/>
      <c r="Q70" s="5"/>
      <c r="R70" s="5"/>
      <c r="S70" s="5"/>
      <c r="T70" s="5"/>
      <c r="U70" s="5"/>
      <c r="V70" s="5"/>
    </row>
    <row r="71" spans="1:2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5"/>
      <c r="Q71" s="5"/>
      <c r="R71" s="5"/>
      <c r="S71" s="5"/>
      <c r="T71" s="5"/>
      <c r="U71" s="5"/>
      <c r="V71" s="5"/>
    </row>
    <row r="72" spans="1:2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</row>
    <row r="73" spans="1:22" ht="15.75">
      <c r="A73" s="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  <c r="P73" s="8"/>
      <c r="Q73" s="8"/>
      <c r="R73" s="8"/>
      <c r="S73" s="8"/>
      <c r="T73" s="8"/>
      <c r="U73" s="8"/>
      <c r="V73" s="8"/>
    </row>
    <row r="74" spans="1:22" s="9" customFormat="1" ht="16.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</row>
    <row r="75" spans="1:22" ht="15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  <c r="P75" s="5"/>
      <c r="Q75" s="5"/>
      <c r="R75" s="5"/>
      <c r="S75" s="5"/>
      <c r="T75" s="5"/>
      <c r="U75" s="5"/>
      <c r="V75" s="5"/>
    </row>
    <row r="76" spans="1:22" ht="15.75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  <c r="P76" s="5"/>
      <c r="Q76" s="5"/>
      <c r="R76" s="5"/>
      <c r="S76" s="5"/>
      <c r="T76" s="5"/>
      <c r="U76" s="5"/>
      <c r="V76" s="5"/>
    </row>
    <row r="77" spans="1:22" ht="15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/>
      <c r="P77" s="5"/>
      <c r="Q77" s="5"/>
      <c r="R77" s="5"/>
      <c r="S77" s="5"/>
      <c r="T77" s="5"/>
      <c r="U77" s="5"/>
      <c r="V77" s="5"/>
    </row>
    <row r="78" spans="1:22" ht="15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/>
      <c r="P78" s="5"/>
      <c r="Q78" s="5"/>
      <c r="R78" s="5"/>
      <c r="S78" s="5"/>
      <c r="T78" s="5"/>
      <c r="U78" s="5"/>
      <c r="V78" s="5"/>
    </row>
    <row r="79" spans="1:22" ht="18" customHeight="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/>
      <c r="P79" s="5"/>
      <c r="Q79" s="5"/>
      <c r="R79" s="5"/>
      <c r="S79" s="5"/>
      <c r="T79" s="5"/>
      <c r="U79" s="5"/>
      <c r="V79" s="5"/>
    </row>
    <row r="80" spans="1:22" ht="15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5"/>
      <c r="Q80" s="5"/>
      <c r="R80" s="5"/>
      <c r="S80" s="5"/>
      <c r="T80" s="5"/>
      <c r="U80" s="5"/>
      <c r="V80" s="5"/>
    </row>
    <row r="81" spans="1:22" ht="15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  <c r="P81" s="5"/>
      <c r="Q81" s="5"/>
      <c r="R81" s="5"/>
      <c r="S81" s="5"/>
      <c r="T81" s="5"/>
      <c r="U81" s="5"/>
      <c r="V81" s="5"/>
    </row>
    <row r="82" spans="1:22" ht="15.75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/>
      <c r="P82" s="5"/>
      <c r="Q82" s="5"/>
      <c r="R82" s="5"/>
      <c r="S82" s="5"/>
      <c r="T82" s="5"/>
      <c r="U82" s="5"/>
      <c r="V82" s="5"/>
    </row>
    <row r="83" spans="1:22" ht="15.75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/>
      <c r="P83" s="5"/>
      <c r="Q83" s="5"/>
      <c r="R83" s="5"/>
      <c r="S83" s="5"/>
      <c r="T83" s="5"/>
      <c r="U83" s="5"/>
      <c r="V83" s="5"/>
    </row>
    <row r="84" spans="1:22" ht="15.75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  <c r="P84" s="5"/>
      <c r="Q84" s="5"/>
      <c r="R84" s="5"/>
      <c r="S84" s="5"/>
      <c r="T84" s="5"/>
      <c r="U84" s="5"/>
      <c r="V84" s="5"/>
    </row>
    <row r="85" spans="1:2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5"/>
    </row>
    <row r="86" spans="1:2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5"/>
      <c r="Q86" s="5"/>
      <c r="R86" s="5"/>
      <c r="S86" s="5"/>
      <c r="T86" s="5"/>
      <c r="U86" s="5"/>
      <c r="V86" s="5"/>
    </row>
    <row r="87" spans="1:2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  <c r="P87" s="5"/>
      <c r="Q87" s="5"/>
      <c r="R87" s="5"/>
      <c r="S87" s="5"/>
      <c r="T87" s="5"/>
      <c r="U87" s="5"/>
      <c r="V87" s="5"/>
    </row>
    <row r="88" spans="1:2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  <c r="P88" s="5"/>
      <c r="Q88" s="5"/>
      <c r="R88" s="5"/>
      <c r="S88" s="5"/>
      <c r="T88" s="5"/>
      <c r="U88" s="5"/>
      <c r="V88" s="5"/>
    </row>
    <row r="89" spans="1:2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5"/>
      <c r="Q89" s="5"/>
      <c r="R89" s="5"/>
      <c r="S89" s="5"/>
      <c r="T89" s="5"/>
      <c r="U89" s="5"/>
      <c r="V89" s="5"/>
    </row>
    <row r="90" spans="1:2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5"/>
      <c r="Q90" s="5"/>
      <c r="R90" s="5"/>
      <c r="S90" s="5"/>
      <c r="T90" s="5"/>
      <c r="U90" s="5"/>
      <c r="V90" s="5"/>
    </row>
    <row r="91" spans="1:2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5"/>
      <c r="V91" s="5"/>
    </row>
    <row r="92" spans="1:2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/>
      <c r="S92" s="5"/>
      <c r="T92" s="5"/>
      <c r="U92" s="5"/>
      <c r="V92" s="5"/>
    </row>
    <row r="93" spans="1:2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  <c r="P93" s="5"/>
      <c r="Q93" s="5"/>
      <c r="R93" s="5"/>
      <c r="S93" s="5"/>
      <c r="T93" s="5"/>
      <c r="U93" s="5"/>
      <c r="V93" s="5"/>
    </row>
    <row r="94" spans="1:2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  <c r="P94" s="5"/>
      <c r="Q94" s="5"/>
      <c r="R94" s="5"/>
      <c r="S94" s="5"/>
      <c r="T94" s="5"/>
      <c r="U94" s="5"/>
      <c r="V94" s="5"/>
    </row>
    <row r="95" spans="1:2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5"/>
      <c r="Q95" s="5"/>
      <c r="R95" s="5"/>
      <c r="S95" s="5"/>
      <c r="T95" s="5"/>
      <c r="U95" s="5"/>
      <c r="V95" s="5"/>
    </row>
    <row r="96" spans="1:2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5"/>
      <c r="Q96" s="5"/>
      <c r="R96" s="5"/>
      <c r="S96" s="5"/>
      <c r="T96" s="5"/>
      <c r="U96" s="5"/>
      <c r="V96" s="5"/>
    </row>
    <row r="97" spans="1:2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5"/>
    </row>
    <row r="98" spans="1:2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5"/>
      <c r="Q98" s="5"/>
      <c r="R98" s="5"/>
      <c r="S98" s="5"/>
      <c r="T98" s="5"/>
      <c r="U98" s="5"/>
      <c r="V98" s="5"/>
    </row>
    <row r="99" spans="1:2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5"/>
      <c r="Q99" s="5"/>
      <c r="R99" s="5"/>
      <c r="S99" s="5"/>
      <c r="T99" s="5"/>
      <c r="U99" s="5"/>
      <c r="V99" s="5"/>
    </row>
    <row r="100" spans="1:2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5"/>
      <c r="Q100" s="5"/>
      <c r="R100" s="5"/>
      <c r="S100" s="5"/>
      <c r="T100" s="5"/>
      <c r="U100" s="5"/>
      <c r="V100" s="5"/>
    </row>
    <row r="101" spans="1:2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5"/>
    </row>
    <row r="102" spans="1:2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5"/>
      <c r="Q102" s="5"/>
      <c r="R102" s="5"/>
      <c r="S102" s="5"/>
      <c r="T102" s="5"/>
      <c r="U102" s="5"/>
      <c r="V102" s="5"/>
    </row>
    <row r="103" spans="1:2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5"/>
      <c r="R103" s="5"/>
      <c r="S103" s="5"/>
      <c r="T103" s="5"/>
      <c r="U103" s="5"/>
      <c r="V103" s="5"/>
    </row>
    <row r="104" spans="1:2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5"/>
      <c r="Q104" s="5"/>
      <c r="R104" s="5"/>
      <c r="S104" s="5"/>
      <c r="T104" s="5"/>
      <c r="U104" s="5"/>
      <c r="V104" s="5"/>
    </row>
    <row r="105" spans="1:2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5"/>
      <c r="Q105" s="5"/>
      <c r="R105" s="5"/>
      <c r="S105" s="5"/>
      <c r="T105" s="5"/>
      <c r="U105" s="5"/>
      <c r="V105" s="5"/>
    </row>
    <row r="106" spans="1:2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5"/>
      <c r="Q106" s="5"/>
      <c r="R106" s="5"/>
      <c r="S106" s="5"/>
      <c r="T106" s="5"/>
      <c r="U106" s="5"/>
      <c r="V106" s="5"/>
    </row>
    <row r="107" spans="1:2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  <c r="U107" s="5"/>
      <c r="V107" s="5"/>
    </row>
    <row r="108" spans="1:2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5"/>
      <c r="Q108" s="5"/>
      <c r="R108" s="5"/>
      <c r="S108" s="5"/>
      <c r="T108" s="5"/>
      <c r="U108" s="5"/>
      <c r="V108" s="5"/>
    </row>
    <row r="109" spans="1:2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5"/>
      <c r="Q109" s="5"/>
      <c r="R109" s="5"/>
      <c r="S109" s="5"/>
      <c r="T109" s="5"/>
      <c r="U109" s="5"/>
      <c r="V109" s="5"/>
    </row>
    <row r="110" spans="1:2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5"/>
      <c r="Q110" s="5"/>
      <c r="R110" s="5"/>
      <c r="S110" s="5"/>
      <c r="T110" s="5"/>
      <c r="U110" s="5"/>
      <c r="V110" s="5"/>
    </row>
    <row r="111" spans="1:2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5"/>
      <c r="Q111" s="5"/>
      <c r="R111" s="5"/>
      <c r="S111" s="5"/>
      <c r="T111" s="5"/>
      <c r="U111" s="5"/>
      <c r="V111" s="5"/>
    </row>
    <row r="112" spans="1:2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5"/>
      <c r="Q112" s="5"/>
      <c r="R112" s="5"/>
      <c r="S112" s="5"/>
      <c r="T112" s="5"/>
      <c r="U112" s="5"/>
      <c r="V112" s="5"/>
    </row>
    <row r="113" spans="1:2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5"/>
      <c r="Q113" s="5"/>
      <c r="R113" s="5"/>
      <c r="S113" s="5"/>
      <c r="T113" s="5"/>
      <c r="U113" s="5"/>
      <c r="V113" s="5"/>
    </row>
    <row r="114" spans="1:2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5"/>
      <c r="Q114" s="5"/>
      <c r="R114" s="5"/>
      <c r="S114" s="5"/>
      <c r="T114" s="5"/>
      <c r="U114" s="5"/>
      <c r="V114" s="5"/>
    </row>
    <row r="115" spans="1:2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5"/>
      <c r="Q115" s="5"/>
      <c r="R115" s="5"/>
      <c r="S115" s="5"/>
      <c r="T115" s="5"/>
      <c r="U115" s="5"/>
      <c r="V115" s="5"/>
    </row>
    <row r="116" spans="1:2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5"/>
      <c r="R116" s="5"/>
      <c r="S116" s="5"/>
      <c r="T116" s="5"/>
      <c r="U116" s="5"/>
      <c r="V116" s="5"/>
    </row>
    <row r="117" spans="1:2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5"/>
      <c r="Q117" s="5"/>
      <c r="R117" s="5"/>
      <c r="S117" s="5"/>
      <c r="T117" s="5"/>
      <c r="U117" s="5"/>
      <c r="V117" s="5"/>
    </row>
    <row r="118" spans="1:2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5"/>
      <c r="Q118" s="5"/>
      <c r="R118" s="5"/>
      <c r="S118" s="5"/>
      <c r="T118" s="5"/>
      <c r="U118" s="5"/>
      <c r="V118" s="5"/>
    </row>
    <row r="119" spans="1:22" ht="15.7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8"/>
      <c r="P119" s="8"/>
      <c r="Q119" s="8"/>
      <c r="R119" s="8"/>
      <c r="S119" s="8"/>
      <c r="T119" s="8"/>
      <c r="U119" s="8"/>
      <c r="V119" s="8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2"/>
      <c r="P120" s="12"/>
      <c r="Q120" s="12"/>
      <c r="R120" s="12"/>
      <c r="S120" s="12"/>
      <c r="T120" s="12"/>
      <c r="U120" s="12"/>
      <c r="V120" s="12"/>
    </row>
    <row r="121" spans="1:22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5"/>
      <c r="P121" s="5"/>
      <c r="Q121" s="5"/>
      <c r="R121" s="5"/>
      <c r="S121" s="5"/>
      <c r="T121" s="5"/>
      <c r="U121" s="5"/>
      <c r="V121" s="5"/>
    </row>
  </sheetData>
  <sheetProtection/>
  <mergeCells count="34">
    <mergeCell ref="B3:B6"/>
    <mergeCell ref="H3:N3"/>
    <mergeCell ref="G5:G6"/>
    <mergeCell ref="H5:H6"/>
    <mergeCell ref="O4:S4"/>
    <mergeCell ref="T3:AA3"/>
    <mergeCell ref="F1:G1"/>
    <mergeCell ref="D2:G2"/>
    <mergeCell ref="F5:F6"/>
    <mergeCell ref="C3:G3"/>
    <mergeCell ref="M5:M6"/>
    <mergeCell ref="I5:I6"/>
    <mergeCell ref="H4:N4"/>
    <mergeCell ref="C4:G4"/>
    <mergeCell ref="O3:S3"/>
    <mergeCell ref="Z5:Z6"/>
    <mergeCell ref="AA5:AA6"/>
    <mergeCell ref="V5:V6"/>
    <mergeCell ref="Y5:Y6"/>
    <mergeCell ref="T4:AA4"/>
    <mergeCell ref="U5:U6"/>
    <mergeCell ref="W5:W6"/>
    <mergeCell ref="X5:X6"/>
    <mergeCell ref="S5:S6"/>
    <mergeCell ref="A74:V74"/>
    <mergeCell ref="C5:E5"/>
    <mergeCell ref="J5:J6"/>
    <mergeCell ref="K5:K6"/>
    <mergeCell ref="N5:N6"/>
    <mergeCell ref="R5:R6"/>
    <mergeCell ref="L5:L6"/>
    <mergeCell ref="T5:T6"/>
    <mergeCell ref="O5:Q5"/>
    <mergeCell ref="A3:A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0" r:id="rId1"/>
  <rowBreaks count="1" manualBreakCount="1">
    <brk id="59" max="255" man="1"/>
  </rowBreaks>
  <colBreaks count="2" manualBreakCount="2">
    <brk id="7" max="55" man="1"/>
    <brk id="19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1"/>
  <sheetViews>
    <sheetView view="pageBreakPreview" zoomScale="81" zoomScaleNormal="71" zoomScaleSheetLayoutView="81" zoomScalePageLayoutView="0" workbookViewId="0" topLeftCell="A1">
      <pane xSplit="2" ySplit="6" topLeftCell="P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0" sqref="R30"/>
    </sheetView>
  </sheetViews>
  <sheetFormatPr defaultColWidth="9.140625" defaultRowHeight="12.75"/>
  <cols>
    <col min="1" max="1" width="9.00390625" style="270" customWidth="1"/>
    <col min="2" max="3" width="30.8515625" style="270" customWidth="1"/>
    <col min="4" max="4" width="24.00390625" style="270" customWidth="1"/>
    <col min="5" max="5" width="19.421875" style="270" customWidth="1"/>
    <col min="6" max="7" width="17.28125" style="270" customWidth="1"/>
    <col min="8" max="8" width="26.421875" style="270" customWidth="1"/>
    <col min="9" max="11" width="20.00390625" style="270" customWidth="1"/>
    <col min="12" max="13" width="24.421875" style="271" customWidth="1"/>
    <col min="14" max="14" width="18.28125" style="271" customWidth="1"/>
    <col min="15" max="15" width="17.140625" style="271" customWidth="1"/>
    <col min="16" max="16" width="22.8515625" style="271" customWidth="1"/>
    <col min="17" max="19" width="20.421875" style="154" customWidth="1"/>
    <col min="20" max="20" width="19.421875" style="154" customWidth="1"/>
    <col min="21" max="21" width="0.13671875" style="154" customWidth="1"/>
    <col min="22" max="23" width="13.140625" style="154" customWidth="1"/>
    <col min="24" max="16384" width="9.140625" style="154" customWidth="1"/>
  </cols>
  <sheetData>
    <row r="1" spans="1:16" ht="15.75">
      <c r="A1" s="152"/>
      <c r="B1" s="152"/>
      <c r="C1" s="152"/>
      <c r="D1" s="152"/>
      <c r="E1" s="152"/>
      <c r="F1" s="152"/>
      <c r="G1" s="153" t="s">
        <v>102</v>
      </c>
      <c r="H1" s="153"/>
      <c r="I1" s="152"/>
      <c r="J1" s="152"/>
      <c r="K1" s="152"/>
      <c r="L1" s="152"/>
      <c r="M1" s="152"/>
      <c r="N1" s="152"/>
      <c r="O1" s="152"/>
      <c r="P1" s="152"/>
    </row>
    <row r="2" spans="1:16" ht="18.75">
      <c r="A2" s="155"/>
      <c r="B2" s="155"/>
      <c r="C2" s="155"/>
      <c r="D2" s="155"/>
      <c r="E2" s="156" t="s">
        <v>89</v>
      </c>
      <c r="F2" s="156"/>
      <c r="G2" s="156"/>
      <c r="H2" s="156"/>
      <c r="I2" s="157"/>
      <c r="J2" s="157"/>
      <c r="K2" s="157"/>
      <c r="L2" s="158"/>
      <c r="M2" s="158"/>
      <c r="N2" s="158"/>
      <c r="O2" s="158"/>
      <c r="P2" s="158"/>
    </row>
    <row r="3" spans="1:27" ht="27.75" customHeight="1">
      <c r="A3" s="159" t="s">
        <v>0</v>
      </c>
      <c r="B3" s="160" t="s">
        <v>63</v>
      </c>
      <c r="C3" s="161" t="s">
        <v>87</v>
      </c>
      <c r="D3" s="162"/>
      <c r="E3" s="162"/>
      <c r="F3" s="162"/>
      <c r="G3" s="162"/>
      <c r="H3" s="163"/>
      <c r="I3" s="164" t="s">
        <v>86</v>
      </c>
      <c r="J3" s="164"/>
      <c r="K3" s="164"/>
      <c r="L3" s="164"/>
      <c r="M3" s="164"/>
      <c r="N3" s="164"/>
      <c r="O3" s="164"/>
      <c r="P3" s="161" t="s">
        <v>84</v>
      </c>
      <c r="Q3" s="162"/>
      <c r="R3" s="162"/>
      <c r="S3" s="162"/>
      <c r="T3" s="162"/>
      <c r="U3" s="165"/>
      <c r="V3" s="165"/>
      <c r="W3" s="166"/>
      <c r="X3" s="166"/>
      <c r="Y3" s="166"/>
      <c r="Z3" s="166"/>
      <c r="AA3" s="166"/>
    </row>
    <row r="4" spans="1:27" ht="27.75" customHeight="1">
      <c r="A4" s="167"/>
      <c r="B4" s="168"/>
      <c r="C4" s="164" t="s">
        <v>46</v>
      </c>
      <c r="D4" s="164"/>
      <c r="E4" s="164"/>
      <c r="F4" s="164"/>
      <c r="G4" s="164"/>
      <c r="H4" s="164"/>
      <c r="I4" s="161" t="s">
        <v>46</v>
      </c>
      <c r="J4" s="162"/>
      <c r="K4" s="162"/>
      <c r="L4" s="162"/>
      <c r="M4" s="162"/>
      <c r="N4" s="162"/>
      <c r="O4" s="162"/>
      <c r="P4" s="161" t="s">
        <v>46</v>
      </c>
      <c r="Q4" s="162"/>
      <c r="R4" s="162"/>
      <c r="S4" s="162"/>
      <c r="T4" s="162"/>
      <c r="U4" s="165"/>
      <c r="V4" s="165"/>
      <c r="W4" s="166"/>
      <c r="X4" s="166"/>
      <c r="Y4" s="166"/>
      <c r="Z4" s="166"/>
      <c r="AA4" s="166"/>
    </row>
    <row r="5" spans="1:27" ht="27.75" customHeight="1">
      <c r="A5" s="167"/>
      <c r="B5" s="168"/>
      <c r="C5" s="169" t="s">
        <v>80</v>
      </c>
      <c r="D5" s="170" t="s">
        <v>49</v>
      </c>
      <c r="E5" s="171"/>
      <c r="F5" s="172"/>
      <c r="G5" s="173" t="s">
        <v>79</v>
      </c>
      <c r="H5" s="174" t="s">
        <v>82</v>
      </c>
      <c r="I5" s="164" t="s">
        <v>60</v>
      </c>
      <c r="J5" s="164" t="s">
        <v>61</v>
      </c>
      <c r="K5" s="164" t="s">
        <v>62</v>
      </c>
      <c r="L5" s="161" t="s">
        <v>49</v>
      </c>
      <c r="M5" s="162"/>
      <c r="N5" s="163"/>
      <c r="O5" s="175" t="s">
        <v>79</v>
      </c>
      <c r="P5" s="176" t="s">
        <v>82</v>
      </c>
      <c r="Q5" s="164" t="s">
        <v>76</v>
      </c>
      <c r="R5" s="164" t="s">
        <v>77</v>
      </c>
      <c r="S5" s="164" t="s">
        <v>78</v>
      </c>
      <c r="T5" s="164" t="s">
        <v>81</v>
      </c>
      <c r="U5" s="166"/>
      <c r="V5" s="177" t="s">
        <v>105</v>
      </c>
      <c r="W5" s="177" t="s">
        <v>95</v>
      </c>
      <c r="X5" s="166"/>
      <c r="Y5" s="166"/>
      <c r="Z5" s="166"/>
      <c r="AA5" s="166"/>
    </row>
    <row r="6" spans="1:23" ht="177" customHeight="1">
      <c r="A6" s="178"/>
      <c r="B6" s="179"/>
      <c r="C6" s="180"/>
      <c r="D6" s="181" t="s">
        <v>65</v>
      </c>
      <c r="E6" s="182" t="s">
        <v>66</v>
      </c>
      <c r="F6" s="182" t="s">
        <v>64</v>
      </c>
      <c r="G6" s="164"/>
      <c r="H6" s="176"/>
      <c r="I6" s="164"/>
      <c r="J6" s="164"/>
      <c r="K6" s="164"/>
      <c r="L6" s="181" t="s">
        <v>75</v>
      </c>
      <c r="M6" s="182" t="s">
        <v>71</v>
      </c>
      <c r="N6" s="182" t="s">
        <v>72</v>
      </c>
      <c r="O6" s="183"/>
      <c r="P6" s="176"/>
      <c r="Q6" s="164"/>
      <c r="R6" s="164"/>
      <c r="S6" s="164"/>
      <c r="T6" s="164"/>
      <c r="V6" s="184"/>
      <c r="W6" s="184"/>
    </row>
    <row r="7" spans="1:23" s="186" customFormat="1" ht="17.2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  <c r="R7" s="185">
        <v>18</v>
      </c>
      <c r="S7" s="185">
        <v>19</v>
      </c>
      <c r="T7" s="185">
        <v>20</v>
      </c>
      <c r="V7" s="187"/>
      <c r="W7" s="187"/>
    </row>
    <row r="8" spans="1:23" s="198" customFormat="1" ht="15.75">
      <c r="A8" s="188">
        <v>1</v>
      </c>
      <c r="B8" s="189" t="s">
        <v>1</v>
      </c>
      <c r="C8" s="190">
        <v>11847</v>
      </c>
      <c r="D8" s="191"/>
      <c r="E8" s="191"/>
      <c r="F8" s="192"/>
      <c r="G8" s="193">
        <v>5852</v>
      </c>
      <c r="H8" s="194">
        <f>ROUND(C8/G8,3)</f>
        <v>2.024</v>
      </c>
      <c r="I8" s="195">
        <f>ROUND((D8)*G8*H8/1000,1)</f>
        <v>0</v>
      </c>
      <c r="J8" s="195">
        <f>ROUND((E8)*G8*H8/1000,1)</f>
        <v>0</v>
      </c>
      <c r="K8" s="195">
        <f>ROUND((F8)*G8*H8/1000,1)</f>
        <v>0</v>
      </c>
      <c r="L8" s="196">
        <v>89</v>
      </c>
      <c r="M8" s="196"/>
      <c r="N8" s="196"/>
      <c r="O8" s="193">
        <f>G8</f>
        <v>5852</v>
      </c>
      <c r="P8" s="194">
        <f>H8</f>
        <v>2.024</v>
      </c>
      <c r="Q8" s="197">
        <f>ROUND((L8)*O8/1000*P8,1)+0.2</f>
        <v>1054.4</v>
      </c>
      <c r="R8" s="197">
        <f>ROUND((M8)*O8*P8/1000,1)</f>
        <v>0</v>
      </c>
      <c r="S8" s="197">
        <f>ROUND((N8)*O8*P8/1000,1)</f>
        <v>0</v>
      </c>
      <c r="T8" s="197">
        <f>I8+J8+K8+Q8+R8+S8</f>
        <v>1054.4</v>
      </c>
      <c r="U8" s="198">
        <f>T8-'[1]2018-без налогов'!$AY4</f>
        <v>-72.5</v>
      </c>
      <c r="V8" s="199">
        <v>1054.4</v>
      </c>
      <c r="W8" s="200">
        <f>V8-T8</f>
        <v>0</v>
      </c>
    </row>
    <row r="9" spans="1:23" s="198" customFormat="1" ht="15.75">
      <c r="A9" s="188">
        <v>2</v>
      </c>
      <c r="B9" s="189" t="s">
        <v>90</v>
      </c>
      <c r="C9" s="190">
        <v>19773</v>
      </c>
      <c r="D9" s="191">
        <v>107</v>
      </c>
      <c r="E9" s="191"/>
      <c r="F9" s="192">
        <v>1</v>
      </c>
      <c r="G9" s="193">
        <v>5852</v>
      </c>
      <c r="H9" s="194">
        <f aca="true" t="shared" si="0" ref="H9:H55">ROUND(C9/G9,3)</f>
        <v>3.379</v>
      </c>
      <c r="I9" s="195">
        <f aca="true" t="shared" si="1" ref="I9:I55">ROUND((D9)*G9*H9/1000,1)</f>
        <v>2115.8</v>
      </c>
      <c r="J9" s="195">
        <f aca="true" t="shared" si="2" ref="J9:J55">ROUND((E9)*G9*H9/1000,1)</f>
        <v>0</v>
      </c>
      <c r="K9" s="195">
        <f aca="true" t="shared" si="3" ref="K9:K55">ROUND((F9)*G9*H9/1000,1)</f>
        <v>19.8</v>
      </c>
      <c r="L9" s="196">
        <v>84</v>
      </c>
      <c r="M9" s="196">
        <v>6</v>
      </c>
      <c r="N9" s="196">
        <v>10</v>
      </c>
      <c r="O9" s="193">
        <f aca="true" t="shared" si="4" ref="O9:O55">G9</f>
        <v>5852</v>
      </c>
      <c r="P9" s="194">
        <f aca="true" t="shared" si="5" ref="P9:P55">H9</f>
        <v>3.379</v>
      </c>
      <c r="Q9" s="197">
        <f>ROUND((L9)*O9/1000*P9,1)-0.1</f>
        <v>1660.9</v>
      </c>
      <c r="R9" s="197">
        <f aca="true" t="shared" si="6" ref="R9:R55">ROUND((M9)*O9*P9/1000,1)</f>
        <v>118.6</v>
      </c>
      <c r="S9" s="197">
        <f aca="true" t="shared" si="7" ref="S9:S55">ROUND((N9)*O9*P9/1000,1)</f>
        <v>197.7</v>
      </c>
      <c r="T9" s="197">
        <f aca="true" t="shared" si="8" ref="T9:T55">I9+J9+K9+Q9+R9+S9</f>
        <v>4112.8</v>
      </c>
      <c r="V9" s="199">
        <v>4112.8</v>
      </c>
      <c r="W9" s="200">
        <f aca="true" t="shared" si="9" ref="W9:W55">V9-T9</f>
        <v>0</v>
      </c>
    </row>
    <row r="10" spans="1:23" s="198" customFormat="1" ht="15.75">
      <c r="A10" s="188">
        <v>3</v>
      </c>
      <c r="B10" s="189" t="s">
        <v>2</v>
      </c>
      <c r="C10" s="201">
        <v>10691</v>
      </c>
      <c r="D10" s="202">
        <v>32</v>
      </c>
      <c r="E10" s="202"/>
      <c r="F10" s="203"/>
      <c r="G10" s="193">
        <v>5852</v>
      </c>
      <c r="H10" s="194">
        <f t="shared" si="0"/>
        <v>1.827</v>
      </c>
      <c r="I10" s="195">
        <f t="shared" si="1"/>
        <v>342.1</v>
      </c>
      <c r="J10" s="195">
        <f t="shared" si="2"/>
        <v>0</v>
      </c>
      <c r="K10" s="195">
        <f t="shared" si="3"/>
        <v>0</v>
      </c>
      <c r="L10" s="204">
        <v>73</v>
      </c>
      <c r="M10" s="204"/>
      <c r="N10" s="204"/>
      <c r="O10" s="193">
        <f t="shared" si="4"/>
        <v>5852</v>
      </c>
      <c r="P10" s="194">
        <f t="shared" si="5"/>
        <v>1.827</v>
      </c>
      <c r="Q10" s="197">
        <f aca="true" t="shared" si="10" ref="Q10:Q55">ROUND((L10)*O10/1000*P10,1)</f>
        <v>780.5</v>
      </c>
      <c r="R10" s="197">
        <f t="shared" si="6"/>
        <v>0</v>
      </c>
      <c r="S10" s="197">
        <f t="shared" si="7"/>
        <v>0</v>
      </c>
      <c r="T10" s="197">
        <f t="shared" si="8"/>
        <v>1122.6</v>
      </c>
      <c r="U10" s="198">
        <f>T10-'[1]2018-без налогов'!$AY5</f>
        <v>-218.60000000000014</v>
      </c>
      <c r="V10" s="199">
        <v>1122.6</v>
      </c>
      <c r="W10" s="200">
        <f t="shared" si="9"/>
        <v>0</v>
      </c>
    </row>
    <row r="11" spans="1:23" s="198" customFormat="1" ht="15.75">
      <c r="A11" s="188">
        <v>4</v>
      </c>
      <c r="B11" s="189" t="s">
        <v>91</v>
      </c>
      <c r="C11" s="201">
        <v>31068</v>
      </c>
      <c r="D11" s="202">
        <v>83</v>
      </c>
      <c r="E11" s="202"/>
      <c r="F11" s="203"/>
      <c r="G11" s="193">
        <v>5852</v>
      </c>
      <c r="H11" s="194">
        <f t="shared" si="0"/>
        <v>5.309</v>
      </c>
      <c r="I11" s="195">
        <f t="shared" si="1"/>
        <v>2578.7</v>
      </c>
      <c r="J11" s="195">
        <f t="shared" si="2"/>
        <v>0</v>
      </c>
      <c r="K11" s="195">
        <f t="shared" si="3"/>
        <v>0</v>
      </c>
      <c r="L11" s="204">
        <v>36</v>
      </c>
      <c r="M11" s="204">
        <v>1</v>
      </c>
      <c r="N11" s="204"/>
      <c r="O11" s="193">
        <f t="shared" si="4"/>
        <v>5852</v>
      </c>
      <c r="P11" s="194">
        <f t="shared" si="5"/>
        <v>5.309</v>
      </c>
      <c r="Q11" s="197">
        <f>ROUND((L11)*O11/1000*P11,1)-0.1</f>
        <v>1118.4</v>
      </c>
      <c r="R11" s="197">
        <f t="shared" si="6"/>
        <v>31.1</v>
      </c>
      <c r="S11" s="197">
        <f t="shared" si="7"/>
        <v>0</v>
      </c>
      <c r="T11" s="197">
        <f t="shared" si="8"/>
        <v>3728.2</v>
      </c>
      <c r="V11" s="199">
        <v>3728.2</v>
      </c>
      <c r="W11" s="200">
        <f t="shared" si="9"/>
        <v>0</v>
      </c>
    </row>
    <row r="12" spans="1:23" s="198" customFormat="1" ht="15.75">
      <c r="A12" s="188">
        <v>5</v>
      </c>
      <c r="B12" s="189" t="s">
        <v>92</v>
      </c>
      <c r="C12" s="201">
        <v>29239</v>
      </c>
      <c r="D12" s="202">
        <v>44</v>
      </c>
      <c r="E12" s="202">
        <v>1</v>
      </c>
      <c r="F12" s="203"/>
      <c r="G12" s="193">
        <v>5852</v>
      </c>
      <c r="H12" s="194">
        <f t="shared" si="0"/>
        <v>4.996</v>
      </c>
      <c r="I12" s="195">
        <f t="shared" si="1"/>
        <v>1286.4</v>
      </c>
      <c r="J12" s="195">
        <f t="shared" si="2"/>
        <v>29.2</v>
      </c>
      <c r="K12" s="195">
        <f t="shared" si="3"/>
        <v>0</v>
      </c>
      <c r="L12" s="204">
        <v>75</v>
      </c>
      <c r="M12" s="204"/>
      <c r="N12" s="204"/>
      <c r="O12" s="193">
        <f t="shared" si="4"/>
        <v>5852</v>
      </c>
      <c r="P12" s="194">
        <f t="shared" si="5"/>
        <v>4.996</v>
      </c>
      <c r="Q12" s="197">
        <f>ROUND((L12)*O12/1000*P12,1)+0.4</f>
        <v>2193.1</v>
      </c>
      <c r="R12" s="197">
        <f t="shared" si="6"/>
        <v>0</v>
      </c>
      <c r="S12" s="197">
        <f t="shared" si="7"/>
        <v>0</v>
      </c>
      <c r="T12" s="197">
        <f t="shared" si="8"/>
        <v>3508.7</v>
      </c>
      <c r="V12" s="199">
        <v>3508.7</v>
      </c>
      <c r="W12" s="200">
        <f t="shared" si="9"/>
        <v>0</v>
      </c>
    </row>
    <row r="13" spans="1:23" s="198" customFormat="1" ht="15.75">
      <c r="A13" s="188">
        <v>6</v>
      </c>
      <c r="B13" s="189" t="s">
        <v>3</v>
      </c>
      <c r="C13" s="201">
        <v>9282</v>
      </c>
      <c r="D13" s="202">
        <v>39</v>
      </c>
      <c r="E13" s="202"/>
      <c r="F13" s="203">
        <v>1</v>
      </c>
      <c r="G13" s="193">
        <v>5852</v>
      </c>
      <c r="H13" s="194">
        <f t="shared" si="0"/>
        <v>1.586</v>
      </c>
      <c r="I13" s="195">
        <f t="shared" si="1"/>
        <v>362</v>
      </c>
      <c r="J13" s="195">
        <f t="shared" si="2"/>
        <v>0</v>
      </c>
      <c r="K13" s="195">
        <f t="shared" si="3"/>
        <v>9.3</v>
      </c>
      <c r="L13" s="204">
        <v>94</v>
      </c>
      <c r="M13" s="204">
        <v>1</v>
      </c>
      <c r="N13" s="204"/>
      <c r="O13" s="193">
        <f t="shared" si="4"/>
        <v>5852</v>
      </c>
      <c r="P13" s="194">
        <f t="shared" si="5"/>
        <v>1.586</v>
      </c>
      <c r="Q13" s="197">
        <f>ROUND((L13)*O13/1000*P13,1)+0.1</f>
        <v>872.5</v>
      </c>
      <c r="R13" s="197">
        <f t="shared" si="6"/>
        <v>9.3</v>
      </c>
      <c r="S13" s="197">
        <f t="shared" si="7"/>
        <v>0</v>
      </c>
      <c r="T13" s="197">
        <f t="shared" si="8"/>
        <v>1253.1</v>
      </c>
      <c r="U13" s="198">
        <f>T13-'[1]2018-без налогов'!$AY6</f>
        <v>-268.10000000000014</v>
      </c>
      <c r="V13" s="199">
        <v>1253.1</v>
      </c>
      <c r="W13" s="200">
        <f t="shared" si="9"/>
        <v>0</v>
      </c>
    </row>
    <row r="14" spans="1:23" s="198" customFormat="1" ht="15.75">
      <c r="A14" s="188">
        <v>7</v>
      </c>
      <c r="B14" s="189" t="s">
        <v>4</v>
      </c>
      <c r="C14" s="201">
        <v>8018</v>
      </c>
      <c r="D14" s="202">
        <v>41</v>
      </c>
      <c r="E14" s="205"/>
      <c r="F14" s="203"/>
      <c r="G14" s="193">
        <v>5852</v>
      </c>
      <c r="H14" s="194">
        <f t="shared" si="0"/>
        <v>1.37</v>
      </c>
      <c r="I14" s="195">
        <f t="shared" si="1"/>
        <v>328.7</v>
      </c>
      <c r="J14" s="195">
        <f t="shared" si="2"/>
        <v>0</v>
      </c>
      <c r="K14" s="195">
        <f t="shared" si="3"/>
        <v>0</v>
      </c>
      <c r="L14" s="204">
        <v>188</v>
      </c>
      <c r="M14" s="204">
        <v>2</v>
      </c>
      <c r="N14" s="204">
        <v>4</v>
      </c>
      <c r="O14" s="193">
        <f t="shared" si="4"/>
        <v>5852</v>
      </c>
      <c r="P14" s="194">
        <f t="shared" si="5"/>
        <v>1.37</v>
      </c>
      <c r="Q14" s="197">
        <f>ROUND((L14)*O14/1000*P14,1)+0.3</f>
        <v>1507.5</v>
      </c>
      <c r="R14" s="197">
        <f t="shared" si="6"/>
        <v>16</v>
      </c>
      <c r="S14" s="197">
        <f t="shared" si="7"/>
        <v>32.1</v>
      </c>
      <c r="T14" s="197">
        <f t="shared" si="8"/>
        <v>1884.3</v>
      </c>
      <c r="U14" s="198">
        <f>T14-'[1]2018-без налогов'!$AY7</f>
        <v>-432.39999999999986</v>
      </c>
      <c r="V14" s="199">
        <v>1884.3</v>
      </c>
      <c r="W14" s="200">
        <f t="shared" si="9"/>
        <v>0</v>
      </c>
    </row>
    <row r="15" spans="1:23" s="198" customFormat="1" ht="15.75">
      <c r="A15" s="188">
        <v>8</v>
      </c>
      <c r="B15" s="189" t="s">
        <v>5</v>
      </c>
      <c r="C15" s="201">
        <v>8670</v>
      </c>
      <c r="D15" s="202">
        <v>23</v>
      </c>
      <c r="E15" s="202"/>
      <c r="F15" s="203"/>
      <c r="G15" s="193">
        <v>5852</v>
      </c>
      <c r="H15" s="194">
        <f t="shared" si="0"/>
        <v>1.482</v>
      </c>
      <c r="I15" s="195">
        <f t="shared" si="1"/>
        <v>199.5</v>
      </c>
      <c r="J15" s="195">
        <f t="shared" si="2"/>
        <v>0</v>
      </c>
      <c r="K15" s="195">
        <f t="shared" si="3"/>
        <v>0</v>
      </c>
      <c r="L15" s="204">
        <v>192</v>
      </c>
      <c r="M15" s="204">
        <v>1</v>
      </c>
      <c r="N15" s="204">
        <v>2</v>
      </c>
      <c r="O15" s="193">
        <f t="shared" si="4"/>
        <v>5852</v>
      </c>
      <c r="P15" s="194">
        <f t="shared" si="5"/>
        <v>1.482</v>
      </c>
      <c r="Q15" s="197">
        <f>ROUND((L15)*O15/1000*P15,1)-0.7</f>
        <v>1664.5</v>
      </c>
      <c r="R15" s="197">
        <f t="shared" si="6"/>
        <v>8.7</v>
      </c>
      <c r="S15" s="197">
        <f t="shared" si="7"/>
        <v>17.3</v>
      </c>
      <c r="T15" s="197">
        <f t="shared" si="8"/>
        <v>1890</v>
      </c>
      <c r="U15" s="198">
        <f>T15-'[1]2018-без налогов'!$AY8</f>
        <v>-392.9000000000001</v>
      </c>
      <c r="V15" s="199">
        <v>1890</v>
      </c>
      <c r="W15" s="200">
        <f t="shared" si="9"/>
        <v>0</v>
      </c>
    </row>
    <row r="16" spans="1:23" s="198" customFormat="1" ht="15.75">
      <c r="A16" s="188">
        <v>9</v>
      </c>
      <c r="B16" s="189" t="s">
        <v>6</v>
      </c>
      <c r="C16" s="201">
        <v>11147</v>
      </c>
      <c r="D16" s="202"/>
      <c r="E16" s="202"/>
      <c r="F16" s="203"/>
      <c r="G16" s="193">
        <v>5852</v>
      </c>
      <c r="H16" s="194">
        <f t="shared" si="0"/>
        <v>1.905</v>
      </c>
      <c r="I16" s="195">
        <f t="shared" si="1"/>
        <v>0</v>
      </c>
      <c r="J16" s="195">
        <f t="shared" si="2"/>
        <v>0</v>
      </c>
      <c r="K16" s="195">
        <f t="shared" si="3"/>
        <v>0</v>
      </c>
      <c r="L16" s="204">
        <v>111</v>
      </c>
      <c r="M16" s="204">
        <v>1</v>
      </c>
      <c r="N16" s="204"/>
      <c r="O16" s="193">
        <f t="shared" si="4"/>
        <v>5852</v>
      </c>
      <c r="P16" s="194">
        <f t="shared" si="5"/>
        <v>1.905</v>
      </c>
      <c r="Q16" s="197">
        <f t="shared" si="10"/>
        <v>1237.4</v>
      </c>
      <c r="R16" s="197">
        <f t="shared" si="6"/>
        <v>11.1</v>
      </c>
      <c r="S16" s="197">
        <f t="shared" si="7"/>
        <v>0</v>
      </c>
      <c r="T16" s="197">
        <f t="shared" si="8"/>
        <v>1248.5</v>
      </c>
      <c r="U16" s="198">
        <f>T16-'[1]2018-без налогов'!$AY9</f>
        <v>-213.5999999999999</v>
      </c>
      <c r="V16" s="199">
        <v>1248.5</v>
      </c>
      <c r="W16" s="200">
        <f t="shared" si="9"/>
        <v>0</v>
      </c>
    </row>
    <row r="17" spans="1:23" s="198" customFormat="1" ht="15.75">
      <c r="A17" s="188">
        <v>10</v>
      </c>
      <c r="B17" s="189" t="s">
        <v>7</v>
      </c>
      <c r="C17" s="206">
        <v>8045</v>
      </c>
      <c r="D17" s="207">
        <v>26</v>
      </c>
      <c r="E17" s="207"/>
      <c r="F17" s="208"/>
      <c r="G17" s="193">
        <v>5852</v>
      </c>
      <c r="H17" s="194">
        <f t="shared" si="0"/>
        <v>1.375</v>
      </c>
      <c r="I17" s="195">
        <f t="shared" si="1"/>
        <v>209.2</v>
      </c>
      <c r="J17" s="195">
        <f t="shared" si="2"/>
        <v>0</v>
      </c>
      <c r="K17" s="195">
        <f t="shared" si="3"/>
        <v>0</v>
      </c>
      <c r="L17" s="204">
        <v>228</v>
      </c>
      <c r="M17" s="204">
        <v>1</v>
      </c>
      <c r="N17" s="204"/>
      <c r="O17" s="193">
        <f t="shared" si="4"/>
        <v>5852</v>
      </c>
      <c r="P17" s="194">
        <f t="shared" si="5"/>
        <v>1.375</v>
      </c>
      <c r="Q17" s="197">
        <f>ROUND((L17)*O17/1000*P17,1)-0.3</f>
        <v>1834.3</v>
      </c>
      <c r="R17" s="197">
        <f t="shared" si="6"/>
        <v>8</v>
      </c>
      <c r="S17" s="197">
        <f t="shared" si="7"/>
        <v>0</v>
      </c>
      <c r="T17" s="197">
        <f t="shared" si="8"/>
        <v>2051.5</v>
      </c>
      <c r="U17" s="198">
        <f>T17-'[1]2018-без налогов'!$AY10</f>
        <v>-233.9000000000001</v>
      </c>
      <c r="V17" s="199">
        <v>2051.5</v>
      </c>
      <c r="W17" s="200">
        <f t="shared" si="9"/>
        <v>0</v>
      </c>
    </row>
    <row r="18" spans="1:23" s="198" customFormat="1" ht="15.75">
      <c r="A18" s="188">
        <v>11</v>
      </c>
      <c r="B18" s="189" t="s">
        <v>8</v>
      </c>
      <c r="C18" s="201">
        <v>7099</v>
      </c>
      <c r="D18" s="202">
        <v>40</v>
      </c>
      <c r="E18" s="202"/>
      <c r="F18" s="203"/>
      <c r="G18" s="193">
        <v>5852</v>
      </c>
      <c r="H18" s="194">
        <f t="shared" si="0"/>
        <v>1.213</v>
      </c>
      <c r="I18" s="195">
        <f t="shared" si="1"/>
        <v>283.9</v>
      </c>
      <c r="J18" s="195">
        <f t="shared" si="2"/>
        <v>0</v>
      </c>
      <c r="K18" s="195">
        <f t="shared" si="3"/>
        <v>0</v>
      </c>
      <c r="L18" s="204">
        <v>230</v>
      </c>
      <c r="M18" s="204"/>
      <c r="N18" s="204"/>
      <c r="O18" s="193">
        <f t="shared" si="4"/>
        <v>5852</v>
      </c>
      <c r="P18" s="194">
        <f t="shared" si="5"/>
        <v>1.213</v>
      </c>
      <c r="Q18" s="197">
        <f>ROUND((L18)*O18/1000*P18,1)+0.2</f>
        <v>1632.8</v>
      </c>
      <c r="R18" s="197">
        <f t="shared" si="6"/>
        <v>0</v>
      </c>
      <c r="S18" s="197">
        <f t="shared" si="7"/>
        <v>0</v>
      </c>
      <c r="T18" s="197">
        <f t="shared" si="8"/>
        <v>1916.6999999999998</v>
      </c>
      <c r="U18" s="198">
        <f>T18-'[1]2018-без налогов'!$AY11</f>
        <v>-238</v>
      </c>
      <c r="V18" s="199">
        <v>1916.7</v>
      </c>
      <c r="W18" s="200">
        <f t="shared" si="9"/>
        <v>0</v>
      </c>
    </row>
    <row r="19" spans="1:23" s="198" customFormat="1" ht="15.75">
      <c r="A19" s="188">
        <v>12</v>
      </c>
      <c r="B19" s="189" t="s">
        <v>9</v>
      </c>
      <c r="C19" s="201">
        <v>10665</v>
      </c>
      <c r="D19" s="202">
        <v>21</v>
      </c>
      <c r="E19" s="202"/>
      <c r="F19" s="203"/>
      <c r="G19" s="193">
        <v>5852</v>
      </c>
      <c r="H19" s="194">
        <f t="shared" si="0"/>
        <v>1.822</v>
      </c>
      <c r="I19" s="195">
        <f t="shared" si="1"/>
        <v>223.9</v>
      </c>
      <c r="J19" s="195">
        <f t="shared" si="2"/>
        <v>0</v>
      </c>
      <c r="K19" s="195">
        <f t="shared" si="3"/>
        <v>0</v>
      </c>
      <c r="L19" s="204">
        <v>184</v>
      </c>
      <c r="M19" s="204">
        <v>1</v>
      </c>
      <c r="N19" s="204"/>
      <c r="O19" s="193">
        <f t="shared" si="4"/>
        <v>5852</v>
      </c>
      <c r="P19" s="194">
        <f t="shared" si="5"/>
        <v>1.822</v>
      </c>
      <c r="Q19" s="197">
        <f>ROUND((L19)*O19/1000*P19,1)+0.5</f>
        <v>1962.4</v>
      </c>
      <c r="R19" s="197">
        <f t="shared" si="6"/>
        <v>10.7</v>
      </c>
      <c r="S19" s="197">
        <f t="shared" si="7"/>
        <v>0</v>
      </c>
      <c r="T19" s="197">
        <f t="shared" si="8"/>
        <v>2197</v>
      </c>
      <c r="U19" s="198">
        <f>T19-'[1]2018-без налогов'!$AY12</f>
        <v>-568.8000000000002</v>
      </c>
      <c r="V19" s="199">
        <v>2197</v>
      </c>
      <c r="W19" s="200">
        <f t="shared" si="9"/>
        <v>0</v>
      </c>
    </row>
    <row r="20" spans="1:23" s="198" customFormat="1" ht="15.75">
      <c r="A20" s="188">
        <v>13</v>
      </c>
      <c r="B20" s="189" t="s">
        <v>10</v>
      </c>
      <c r="C20" s="201">
        <v>9335</v>
      </c>
      <c r="D20" s="202">
        <v>39</v>
      </c>
      <c r="E20" s="202"/>
      <c r="F20" s="203"/>
      <c r="G20" s="193">
        <v>5852</v>
      </c>
      <c r="H20" s="194">
        <f t="shared" si="0"/>
        <v>1.595</v>
      </c>
      <c r="I20" s="195">
        <f t="shared" si="1"/>
        <v>364</v>
      </c>
      <c r="J20" s="195">
        <f t="shared" si="2"/>
        <v>0</v>
      </c>
      <c r="K20" s="195">
        <f t="shared" si="3"/>
        <v>0</v>
      </c>
      <c r="L20" s="204">
        <v>176</v>
      </c>
      <c r="M20" s="204"/>
      <c r="N20" s="204"/>
      <c r="O20" s="193">
        <f t="shared" si="4"/>
        <v>5852</v>
      </c>
      <c r="P20" s="194">
        <f t="shared" si="5"/>
        <v>1.595</v>
      </c>
      <c r="Q20" s="197">
        <f>ROUND((L20)*O20/1000*P20,1)+0.3</f>
        <v>1643.1</v>
      </c>
      <c r="R20" s="197">
        <f t="shared" si="6"/>
        <v>0</v>
      </c>
      <c r="S20" s="197">
        <f t="shared" si="7"/>
        <v>0</v>
      </c>
      <c r="T20" s="197">
        <f t="shared" si="8"/>
        <v>2007.1</v>
      </c>
      <c r="U20" s="198">
        <f>T20-'[1]2018-без налогов'!$AY13</f>
        <v>-436.0999999999999</v>
      </c>
      <c r="V20" s="199">
        <v>2007.1</v>
      </c>
      <c r="W20" s="200">
        <f t="shared" si="9"/>
        <v>0</v>
      </c>
    </row>
    <row r="21" spans="1:23" s="198" customFormat="1" ht="15.75">
      <c r="A21" s="188">
        <v>14</v>
      </c>
      <c r="B21" s="209" t="s">
        <v>11</v>
      </c>
      <c r="C21" s="210">
        <v>20979</v>
      </c>
      <c r="D21" s="211">
        <v>24</v>
      </c>
      <c r="E21" s="211"/>
      <c r="F21" s="212"/>
      <c r="G21" s="193">
        <v>5852</v>
      </c>
      <c r="H21" s="194">
        <f t="shared" si="0"/>
        <v>3.585</v>
      </c>
      <c r="I21" s="195">
        <f t="shared" si="1"/>
        <v>503.5</v>
      </c>
      <c r="J21" s="195">
        <f t="shared" si="2"/>
        <v>0</v>
      </c>
      <c r="K21" s="195">
        <f t="shared" si="3"/>
        <v>0</v>
      </c>
      <c r="L21" s="213">
        <v>60</v>
      </c>
      <c r="M21" s="213">
        <v>2</v>
      </c>
      <c r="N21" s="213">
        <v>1</v>
      </c>
      <c r="O21" s="193">
        <f t="shared" si="4"/>
        <v>5852</v>
      </c>
      <c r="P21" s="194">
        <f t="shared" si="5"/>
        <v>3.585</v>
      </c>
      <c r="Q21" s="197">
        <f>ROUND((L21)*O21/1000*P21,1)-0.1</f>
        <v>1258.7</v>
      </c>
      <c r="R21" s="197">
        <f t="shared" si="6"/>
        <v>42</v>
      </c>
      <c r="S21" s="197">
        <f t="shared" si="7"/>
        <v>21</v>
      </c>
      <c r="T21" s="197">
        <f t="shared" si="8"/>
        <v>1825.2</v>
      </c>
      <c r="U21" s="198">
        <f>T21-'[1]2018-без налогов'!$AY14</f>
        <v>-85.5</v>
      </c>
      <c r="V21" s="199">
        <v>1825.2</v>
      </c>
      <c r="W21" s="200">
        <f t="shared" si="9"/>
        <v>0</v>
      </c>
    </row>
    <row r="22" spans="1:23" s="198" customFormat="1" ht="15.75">
      <c r="A22" s="188">
        <v>15</v>
      </c>
      <c r="B22" s="189" t="s">
        <v>25</v>
      </c>
      <c r="C22" s="201">
        <v>24450</v>
      </c>
      <c r="D22" s="202"/>
      <c r="E22" s="202"/>
      <c r="F22" s="203"/>
      <c r="G22" s="193">
        <v>5852</v>
      </c>
      <c r="H22" s="194">
        <f t="shared" si="0"/>
        <v>4.178</v>
      </c>
      <c r="I22" s="195">
        <f t="shared" si="1"/>
        <v>0</v>
      </c>
      <c r="J22" s="195">
        <f t="shared" si="2"/>
        <v>0</v>
      </c>
      <c r="K22" s="195">
        <f t="shared" si="3"/>
        <v>0</v>
      </c>
      <c r="L22" s="204">
        <v>29</v>
      </c>
      <c r="M22" s="204"/>
      <c r="N22" s="204">
        <v>1</v>
      </c>
      <c r="O22" s="193">
        <f t="shared" si="4"/>
        <v>5852</v>
      </c>
      <c r="P22" s="194">
        <f t="shared" si="5"/>
        <v>4.178</v>
      </c>
      <c r="Q22" s="197">
        <f>ROUND((L22)*O22/1000*P22,1)+0.1</f>
        <v>709.1</v>
      </c>
      <c r="R22" s="197">
        <f t="shared" si="6"/>
        <v>0</v>
      </c>
      <c r="S22" s="197">
        <f t="shared" si="7"/>
        <v>24.4</v>
      </c>
      <c r="T22" s="197">
        <f t="shared" si="8"/>
        <v>733.5</v>
      </c>
      <c r="U22" s="198">
        <f>T22-'[1]2018-без налогов'!$AY15</f>
        <v>-1.8999999999999773</v>
      </c>
      <c r="V22" s="199">
        <v>733.5</v>
      </c>
      <c r="W22" s="200">
        <f t="shared" si="9"/>
        <v>0</v>
      </c>
    </row>
    <row r="23" spans="1:23" s="198" customFormat="1" ht="15.75">
      <c r="A23" s="188">
        <v>16</v>
      </c>
      <c r="B23" s="189" t="s">
        <v>24</v>
      </c>
      <c r="C23" s="206">
        <v>22010</v>
      </c>
      <c r="D23" s="207"/>
      <c r="E23" s="207"/>
      <c r="F23" s="208"/>
      <c r="G23" s="193">
        <v>5852</v>
      </c>
      <c r="H23" s="194">
        <f t="shared" si="0"/>
        <v>3.761</v>
      </c>
      <c r="I23" s="195">
        <f t="shared" si="1"/>
        <v>0</v>
      </c>
      <c r="J23" s="195">
        <f t="shared" si="2"/>
        <v>0</v>
      </c>
      <c r="K23" s="195">
        <f t="shared" si="3"/>
        <v>0</v>
      </c>
      <c r="L23" s="204">
        <v>20</v>
      </c>
      <c r="M23" s="204"/>
      <c r="N23" s="204"/>
      <c r="O23" s="193">
        <f t="shared" si="4"/>
        <v>5852</v>
      </c>
      <c r="P23" s="194">
        <f t="shared" si="5"/>
        <v>3.761</v>
      </c>
      <c r="Q23" s="197">
        <f t="shared" si="10"/>
        <v>440.2</v>
      </c>
      <c r="R23" s="197">
        <f t="shared" si="6"/>
        <v>0</v>
      </c>
      <c r="S23" s="197">
        <f t="shared" si="7"/>
        <v>0</v>
      </c>
      <c r="T23" s="197">
        <f t="shared" si="8"/>
        <v>440.2</v>
      </c>
      <c r="U23" s="198">
        <f>T23-'[1]2018-без налогов'!$AY16</f>
        <v>-35.60000000000002</v>
      </c>
      <c r="V23" s="199">
        <v>440.2</v>
      </c>
      <c r="W23" s="200">
        <f t="shared" si="9"/>
        <v>0</v>
      </c>
    </row>
    <row r="24" spans="1:23" s="198" customFormat="1" ht="15.75">
      <c r="A24" s="188">
        <v>17</v>
      </c>
      <c r="B24" s="189" t="s">
        <v>12</v>
      </c>
      <c r="C24" s="201">
        <v>12535</v>
      </c>
      <c r="D24" s="202"/>
      <c r="E24" s="202"/>
      <c r="F24" s="203"/>
      <c r="G24" s="193">
        <v>5852</v>
      </c>
      <c r="H24" s="194">
        <f t="shared" si="0"/>
        <v>2.142</v>
      </c>
      <c r="I24" s="195">
        <f t="shared" si="1"/>
        <v>0</v>
      </c>
      <c r="J24" s="195">
        <f t="shared" si="2"/>
        <v>0</v>
      </c>
      <c r="K24" s="195">
        <f t="shared" si="3"/>
        <v>0</v>
      </c>
      <c r="L24" s="204">
        <v>73</v>
      </c>
      <c r="M24" s="204">
        <v>2</v>
      </c>
      <c r="N24" s="204"/>
      <c r="O24" s="193">
        <f t="shared" si="4"/>
        <v>5852</v>
      </c>
      <c r="P24" s="194">
        <f t="shared" si="5"/>
        <v>2.142</v>
      </c>
      <c r="Q24" s="197">
        <f>ROUND((L24)*O24/1000*P24,1)-0.1</f>
        <v>915</v>
      </c>
      <c r="R24" s="197">
        <f t="shared" si="6"/>
        <v>25.1</v>
      </c>
      <c r="S24" s="197">
        <f t="shared" si="7"/>
        <v>0</v>
      </c>
      <c r="T24" s="197">
        <f t="shared" si="8"/>
        <v>940.1</v>
      </c>
      <c r="U24" s="198">
        <f>T24-'[1]2018-без налогов'!$AY17</f>
        <v>-68.19999999999993</v>
      </c>
      <c r="V24" s="199">
        <v>940.1</v>
      </c>
      <c r="W24" s="200">
        <f t="shared" si="9"/>
        <v>0</v>
      </c>
    </row>
    <row r="25" spans="1:23" s="198" customFormat="1" ht="15.75">
      <c r="A25" s="188">
        <v>18</v>
      </c>
      <c r="B25" s="189" t="s">
        <v>13</v>
      </c>
      <c r="C25" s="201">
        <v>19505</v>
      </c>
      <c r="D25" s="202"/>
      <c r="E25" s="202"/>
      <c r="F25" s="203"/>
      <c r="G25" s="193">
        <v>5852</v>
      </c>
      <c r="H25" s="194">
        <f t="shared" si="0"/>
        <v>3.333</v>
      </c>
      <c r="I25" s="195">
        <f t="shared" si="1"/>
        <v>0</v>
      </c>
      <c r="J25" s="195">
        <f t="shared" si="2"/>
        <v>0</v>
      </c>
      <c r="K25" s="195">
        <f t="shared" si="3"/>
        <v>0</v>
      </c>
      <c r="L25" s="204">
        <v>41</v>
      </c>
      <c r="M25" s="204"/>
      <c r="N25" s="204"/>
      <c r="O25" s="193">
        <f t="shared" si="4"/>
        <v>5852</v>
      </c>
      <c r="P25" s="194">
        <f t="shared" si="5"/>
        <v>3.333</v>
      </c>
      <c r="Q25" s="197">
        <f t="shared" si="10"/>
        <v>799.7</v>
      </c>
      <c r="R25" s="197">
        <f t="shared" si="6"/>
        <v>0</v>
      </c>
      <c r="S25" s="197">
        <f t="shared" si="7"/>
        <v>0</v>
      </c>
      <c r="T25" s="197">
        <f t="shared" si="8"/>
        <v>799.7</v>
      </c>
      <c r="U25" s="198">
        <f>T25-'[1]2018-без налогов'!$AY18</f>
        <v>-54.5</v>
      </c>
      <c r="V25" s="199">
        <v>799.7</v>
      </c>
      <c r="W25" s="200">
        <f t="shared" si="9"/>
        <v>0</v>
      </c>
    </row>
    <row r="26" spans="1:23" s="198" customFormat="1" ht="15.75">
      <c r="A26" s="188">
        <v>19</v>
      </c>
      <c r="B26" s="189" t="s">
        <v>14</v>
      </c>
      <c r="C26" s="201">
        <v>19768</v>
      </c>
      <c r="D26" s="202"/>
      <c r="E26" s="202"/>
      <c r="F26" s="203"/>
      <c r="G26" s="193">
        <v>5852</v>
      </c>
      <c r="H26" s="194">
        <f t="shared" si="0"/>
        <v>3.378</v>
      </c>
      <c r="I26" s="195">
        <f t="shared" si="1"/>
        <v>0</v>
      </c>
      <c r="J26" s="195">
        <f t="shared" si="2"/>
        <v>0</v>
      </c>
      <c r="K26" s="195">
        <f t="shared" si="3"/>
        <v>0</v>
      </c>
      <c r="L26" s="204">
        <v>40</v>
      </c>
      <c r="M26" s="204"/>
      <c r="N26" s="204"/>
      <c r="O26" s="193">
        <f t="shared" si="4"/>
        <v>5852</v>
      </c>
      <c r="P26" s="194">
        <f t="shared" si="5"/>
        <v>3.378</v>
      </c>
      <c r="Q26" s="197">
        <f t="shared" si="10"/>
        <v>790.7</v>
      </c>
      <c r="R26" s="197">
        <f t="shared" si="6"/>
        <v>0</v>
      </c>
      <c r="S26" s="197">
        <f t="shared" si="7"/>
        <v>0</v>
      </c>
      <c r="T26" s="197">
        <f t="shared" si="8"/>
        <v>790.7</v>
      </c>
      <c r="U26" s="198">
        <f>T26-'[1]2018-без налогов'!$AY19</f>
        <v>-45.299999999999955</v>
      </c>
      <c r="V26" s="199">
        <v>790.7</v>
      </c>
      <c r="W26" s="200">
        <f t="shared" si="9"/>
        <v>0</v>
      </c>
    </row>
    <row r="27" spans="1:23" s="218" customFormat="1" ht="16.5" customHeight="1">
      <c r="A27" s="188">
        <v>20</v>
      </c>
      <c r="B27" s="209" t="s">
        <v>15</v>
      </c>
      <c r="C27" s="214">
        <v>13323</v>
      </c>
      <c r="D27" s="215"/>
      <c r="E27" s="215"/>
      <c r="F27" s="216"/>
      <c r="G27" s="193">
        <v>5852</v>
      </c>
      <c r="H27" s="194">
        <f t="shared" si="0"/>
        <v>2.277</v>
      </c>
      <c r="I27" s="195">
        <f t="shared" si="1"/>
        <v>0</v>
      </c>
      <c r="J27" s="195">
        <f t="shared" si="2"/>
        <v>0</v>
      </c>
      <c r="K27" s="195">
        <f t="shared" si="3"/>
        <v>0</v>
      </c>
      <c r="L27" s="204">
        <v>56</v>
      </c>
      <c r="M27" s="204"/>
      <c r="N27" s="204">
        <v>1</v>
      </c>
      <c r="O27" s="193">
        <f t="shared" si="4"/>
        <v>5852</v>
      </c>
      <c r="P27" s="194">
        <f t="shared" si="5"/>
        <v>2.277</v>
      </c>
      <c r="Q27" s="197">
        <f>ROUND((L27)*O27/1000*P27,1)-0.1</f>
        <v>746.1</v>
      </c>
      <c r="R27" s="197">
        <f t="shared" si="6"/>
        <v>0</v>
      </c>
      <c r="S27" s="197">
        <f t="shared" si="7"/>
        <v>13.3</v>
      </c>
      <c r="T27" s="197">
        <f t="shared" si="8"/>
        <v>759.4</v>
      </c>
      <c r="U27" s="198">
        <f>T27-'[1]2018-без налогов'!$AY20</f>
        <v>-164.80000000000007</v>
      </c>
      <c r="V27" s="217">
        <v>759.4</v>
      </c>
      <c r="W27" s="200">
        <f t="shared" si="9"/>
        <v>0</v>
      </c>
    </row>
    <row r="28" spans="1:23" s="198" customFormat="1" ht="19.5" customHeight="1">
      <c r="A28" s="188">
        <v>21</v>
      </c>
      <c r="B28" s="189" t="s">
        <v>26</v>
      </c>
      <c r="C28" s="219">
        <v>36822</v>
      </c>
      <c r="D28" s="220"/>
      <c r="E28" s="220"/>
      <c r="F28" s="221"/>
      <c r="G28" s="193">
        <v>5852</v>
      </c>
      <c r="H28" s="194">
        <f t="shared" si="0"/>
        <v>6.292</v>
      </c>
      <c r="I28" s="195">
        <f t="shared" si="1"/>
        <v>0</v>
      </c>
      <c r="J28" s="195">
        <f t="shared" si="2"/>
        <v>0</v>
      </c>
      <c r="K28" s="195">
        <f t="shared" si="3"/>
        <v>0</v>
      </c>
      <c r="L28" s="204">
        <v>18</v>
      </c>
      <c r="M28" s="204"/>
      <c r="N28" s="204"/>
      <c r="O28" s="193">
        <f t="shared" si="4"/>
        <v>5852</v>
      </c>
      <c r="P28" s="194">
        <f t="shared" si="5"/>
        <v>6.292</v>
      </c>
      <c r="Q28" s="197">
        <f t="shared" si="10"/>
        <v>662.8</v>
      </c>
      <c r="R28" s="197">
        <f t="shared" si="6"/>
        <v>0</v>
      </c>
      <c r="S28" s="197">
        <f t="shared" si="7"/>
        <v>0</v>
      </c>
      <c r="T28" s="197">
        <f t="shared" si="8"/>
        <v>662.8</v>
      </c>
      <c r="U28" s="198">
        <f>T28-'[1]2018-без налогов'!$AY21</f>
        <v>-12.600000000000023</v>
      </c>
      <c r="V28" s="199">
        <v>662.8</v>
      </c>
      <c r="W28" s="200">
        <f t="shared" si="9"/>
        <v>0</v>
      </c>
    </row>
    <row r="29" spans="1:23" s="198" customFormat="1" ht="19.5" customHeight="1">
      <c r="A29" s="188">
        <v>22</v>
      </c>
      <c r="B29" s="189" t="s">
        <v>27</v>
      </c>
      <c r="C29" s="219">
        <v>76089</v>
      </c>
      <c r="D29" s="220"/>
      <c r="E29" s="220"/>
      <c r="F29" s="221"/>
      <c r="G29" s="193">
        <v>5852</v>
      </c>
      <c r="H29" s="194">
        <f t="shared" si="0"/>
        <v>13.002</v>
      </c>
      <c r="I29" s="195">
        <f t="shared" si="1"/>
        <v>0</v>
      </c>
      <c r="J29" s="195">
        <f t="shared" si="2"/>
        <v>0</v>
      </c>
      <c r="K29" s="195">
        <f t="shared" si="3"/>
        <v>0</v>
      </c>
      <c r="L29" s="204">
        <v>9</v>
      </c>
      <c r="M29" s="204"/>
      <c r="N29" s="204"/>
      <c r="O29" s="193">
        <f t="shared" si="4"/>
        <v>5852</v>
      </c>
      <c r="P29" s="194">
        <f t="shared" si="5"/>
        <v>13.002</v>
      </c>
      <c r="Q29" s="197">
        <f t="shared" si="10"/>
        <v>684.8</v>
      </c>
      <c r="R29" s="197">
        <f t="shared" si="6"/>
        <v>0</v>
      </c>
      <c r="S29" s="197">
        <f t="shared" si="7"/>
        <v>0</v>
      </c>
      <c r="T29" s="197">
        <f t="shared" si="8"/>
        <v>684.8</v>
      </c>
      <c r="U29" s="198">
        <f>T29-'[1]2018-без налогов'!$AY22</f>
        <v>-36.5</v>
      </c>
      <c r="V29" s="199">
        <v>684.8</v>
      </c>
      <c r="W29" s="200">
        <f t="shared" si="9"/>
        <v>0</v>
      </c>
    </row>
    <row r="30" spans="1:23" s="198" customFormat="1" ht="18" customHeight="1">
      <c r="A30" s="188">
        <v>23</v>
      </c>
      <c r="B30" s="189" t="s">
        <v>28</v>
      </c>
      <c r="C30" s="219">
        <v>56425</v>
      </c>
      <c r="D30" s="220"/>
      <c r="E30" s="220"/>
      <c r="F30" s="221"/>
      <c r="G30" s="193">
        <v>5852</v>
      </c>
      <c r="H30" s="194">
        <f t="shared" si="0"/>
        <v>9.642</v>
      </c>
      <c r="I30" s="195">
        <f t="shared" si="1"/>
        <v>0</v>
      </c>
      <c r="J30" s="195">
        <f t="shared" si="2"/>
        <v>0</v>
      </c>
      <c r="K30" s="195">
        <f t="shared" si="3"/>
        <v>0</v>
      </c>
      <c r="L30" s="204">
        <v>12</v>
      </c>
      <c r="M30" s="204"/>
      <c r="N30" s="204"/>
      <c r="O30" s="193">
        <f t="shared" si="4"/>
        <v>5852</v>
      </c>
      <c r="P30" s="194">
        <f t="shared" si="5"/>
        <v>9.642</v>
      </c>
      <c r="Q30" s="197">
        <f t="shared" si="10"/>
        <v>677.1</v>
      </c>
      <c r="R30" s="197">
        <f t="shared" si="6"/>
        <v>0</v>
      </c>
      <c r="S30" s="197">
        <f t="shared" si="7"/>
        <v>0</v>
      </c>
      <c r="T30" s="197">
        <f t="shared" si="8"/>
        <v>677.1</v>
      </c>
      <c r="U30" s="198">
        <f>T30-'[1]2018-без налогов'!$AY23</f>
        <v>-28.699999999999932</v>
      </c>
      <c r="V30" s="199">
        <v>677.1</v>
      </c>
      <c r="W30" s="200">
        <f t="shared" si="9"/>
        <v>0</v>
      </c>
    </row>
    <row r="31" spans="1:23" s="198" customFormat="1" ht="18.75" customHeight="1">
      <c r="A31" s="188">
        <v>24</v>
      </c>
      <c r="B31" s="189" t="s">
        <v>29</v>
      </c>
      <c r="C31" s="219">
        <v>21231</v>
      </c>
      <c r="D31" s="220"/>
      <c r="E31" s="220"/>
      <c r="F31" s="221"/>
      <c r="G31" s="193">
        <v>5852</v>
      </c>
      <c r="H31" s="194">
        <f t="shared" si="0"/>
        <v>3.628</v>
      </c>
      <c r="I31" s="195">
        <f t="shared" si="1"/>
        <v>0</v>
      </c>
      <c r="J31" s="195">
        <f t="shared" si="2"/>
        <v>0</v>
      </c>
      <c r="K31" s="195">
        <f t="shared" si="3"/>
        <v>0</v>
      </c>
      <c r="L31" s="204">
        <v>31</v>
      </c>
      <c r="M31" s="204"/>
      <c r="N31" s="204">
        <v>1</v>
      </c>
      <c r="O31" s="193">
        <f t="shared" si="4"/>
        <v>5852</v>
      </c>
      <c r="P31" s="194">
        <f t="shared" si="5"/>
        <v>3.628</v>
      </c>
      <c r="Q31" s="197">
        <f t="shared" si="10"/>
        <v>658.2</v>
      </c>
      <c r="R31" s="197">
        <f t="shared" si="6"/>
        <v>0</v>
      </c>
      <c r="S31" s="197">
        <f t="shared" si="7"/>
        <v>21.2</v>
      </c>
      <c r="T31" s="197">
        <f t="shared" si="8"/>
        <v>679.4000000000001</v>
      </c>
      <c r="U31" s="198">
        <f>T31-'[1]2018-без налогов'!$AY24</f>
        <v>-10.299999999999955</v>
      </c>
      <c r="V31" s="199">
        <v>679.4</v>
      </c>
      <c r="W31" s="200">
        <f t="shared" si="9"/>
        <v>0</v>
      </c>
    </row>
    <row r="32" spans="1:23" s="198" customFormat="1" ht="15.75">
      <c r="A32" s="188">
        <v>25</v>
      </c>
      <c r="B32" s="189" t="s">
        <v>16</v>
      </c>
      <c r="C32" s="190">
        <v>9859</v>
      </c>
      <c r="D32" s="191"/>
      <c r="E32" s="191"/>
      <c r="F32" s="192"/>
      <c r="G32" s="193">
        <v>5852</v>
      </c>
      <c r="H32" s="194">
        <f t="shared" si="0"/>
        <v>1.685</v>
      </c>
      <c r="I32" s="195">
        <f t="shared" si="1"/>
        <v>0</v>
      </c>
      <c r="J32" s="195">
        <f t="shared" si="2"/>
        <v>0</v>
      </c>
      <c r="K32" s="195">
        <f t="shared" si="3"/>
        <v>0</v>
      </c>
      <c r="L32" s="196">
        <v>103</v>
      </c>
      <c r="M32" s="196">
        <v>1</v>
      </c>
      <c r="N32" s="196">
        <v>1</v>
      </c>
      <c r="O32" s="193">
        <f t="shared" si="4"/>
        <v>5852</v>
      </c>
      <c r="P32" s="194">
        <f t="shared" si="5"/>
        <v>1.685</v>
      </c>
      <c r="Q32" s="197">
        <f>ROUND((L32)*O32/1000*P32,1)-0.2</f>
        <v>1015.4</v>
      </c>
      <c r="R32" s="197">
        <f t="shared" si="6"/>
        <v>9.9</v>
      </c>
      <c r="S32" s="197">
        <f t="shared" si="7"/>
        <v>9.9</v>
      </c>
      <c r="T32" s="197">
        <f t="shared" si="8"/>
        <v>1035.2</v>
      </c>
      <c r="U32" s="198">
        <f>T32-'[1]2018-без налогов'!$AY25</f>
        <v>-113.79999999999995</v>
      </c>
      <c r="V32" s="199">
        <v>1035.2</v>
      </c>
      <c r="W32" s="200">
        <f t="shared" si="9"/>
        <v>0</v>
      </c>
    </row>
    <row r="33" spans="1:23" s="198" customFormat="1" ht="15.75">
      <c r="A33" s="188">
        <v>26</v>
      </c>
      <c r="B33" s="189" t="s">
        <v>17</v>
      </c>
      <c r="C33" s="201">
        <v>9695</v>
      </c>
      <c r="D33" s="202"/>
      <c r="E33" s="202"/>
      <c r="F33" s="203"/>
      <c r="G33" s="193">
        <v>5852</v>
      </c>
      <c r="H33" s="194">
        <f t="shared" si="0"/>
        <v>1.657</v>
      </c>
      <c r="I33" s="195">
        <f t="shared" si="1"/>
        <v>0</v>
      </c>
      <c r="J33" s="195">
        <f t="shared" si="2"/>
        <v>0</v>
      </c>
      <c r="K33" s="195">
        <f t="shared" si="3"/>
        <v>0</v>
      </c>
      <c r="L33" s="204">
        <v>104</v>
      </c>
      <c r="M33" s="204">
        <v>1</v>
      </c>
      <c r="N33" s="204"/>
      <c r="O33" s="193">
        <f t="shared" si="4"/>
        <v>5852</v>
      </c>
      <c r="P33" s="194">
        <f t="shared" si="5"/>
        <v>1.657</v>
      </c>
      <c r="Q33" s="197">
        <f>ROUND((L33)*O33/1000*P33,1)-0.2</f>
        <v>1008.3</v>
      </c>
      <c r="R33" s="197">
        <f t="shared" si="6"/>
        <v>9.7</v>
      </c>
      <c r="S33" s="197">
        <f t="shared" si="7"/>
        <v>0</v>
      </c>
      <c r="T33" s="197">
        <f t="shared" si="8"/>
        <v>1018</v>
      </c>
      <c r="U33" s="198">
        <f>T33-'[1]2018-без налогов'!$AY26</f>
        <v>-123.70000000000005</v>
      </c>
      <c r="V33" s="199">
        <v>1018</v>
      </c>
      <c r="W33" s="200">
        <f t="shared" si="9"/>
        <v>0</v>
      </c>
    </row>
    <row r="34" spans="1:23" s="218" customFormat="1" ht="18" customHeight="1">
      <c r="A34" s="188">
        <v>27</v>
      </c>
      <c r="B34" s="209" t="s">
        <v>18</v>
      </c>
      <c r="C34" s="219">
        <v>9623</v>
      </c>
      <c r="D34" s="220">
        <v>22</v>
      </c>
      <c r="E34" s="202"/>
      <c r="F34" s="203"/>
      <c r="G34" s="193">
        <v>5852</v>
      </c>
      <c r="H34" s="194">
        <f t="shared" si="0"/>
        <v>1.644</v>
      </c>
      <c r="I34" s="195">
        <f t="shared" si="1"/>
        <v>211.7</v>
      </c>
      <c r="J34" s="195">
        <f t="shared" si="2"/>
        <v>0</v>
      </c>
      <c r="K34" s="195">
        <f t="shared" si="3"/>
        <v>0</v>
      </c>
      <c r="L34" s="204">
        <v>96</v>
      </c>
      <c r="M34" s="204">
        <v>1</v>
      </c>
      <c r="N34" s="204"/>
      <c r="O34" s="193">
        <f t="shared" si="4"/>
        <v>5852</v>
      </c>
      <c r="P34" s="194">
        <f t="shared" si="5"/>
        <v>1.644</v>
      </c>
      <c r="Q34" s="197">
        <f>ROUND((L34)*O34/1000*P34,1)+0.2</f>
        <v>923.8000000000001</v>
      </c>
      <c r="R34" s="197">
        <f t="shared" si="6"/>
        <v>9.6</v>
      </c>
      <c r="S34" s="197">
        <f t="shared" si="7"/>
        <v>0</v>
      </c>
      <c r="T34" s="197">
        <f t="shared" si="8"/>
        <v>1145.1</v>
      </c>
      <c r="U34" s="198">
        <f>T34-'[1]2018-без налогов'!$AY27</f>
        <v>-84.20000000000005</v>
      </c>
      <c r="V34" s="217">
        <v>1145.1</v>
      </c>
      <c r="W34" s="200">
        <f t="shared" si="9"/>
        <v>0</v>
      </c>
    </row>
    <row r="35" spans="1:23" s="198" customFormat="1" ht="15.75">
      <c r="A35" s="188">
        <v>28</v>
      </c>
      <c r="B35" s="189" t="s">
        <v>19</v>
      </c>
      <c r="C35" s="201">
        <v>7541</v>
      </c>
      <c r="D35" s="202">
        <v>19</v>
      </c>
      <c r="E35" s="202"/>
      <c r="F35" s="203"/>
      <c r="G35" s="193">
        <v>5852</v>
      </c>
      <c r="H35" s="194">
        <f t="shared" si="0"/>
        <v>1.289</v>
      </c>
      <c r="I35" s="195">
        <f t="shared" si="1"/>
        <v>143.3</v>
      </c>
      <c r="J35" s="195">
        <f t="shared" si="2"/>
        <v>0</v>
      </c>
      <c r="K35" s="195">
        <f t="shared" si="3"/>
        <v>0</v>
      </c>
      <c r="L35" s="204">
        <v>120</v>
      </c>
      <c r="M35" s="204">
        <v>1</v>
      </c>
      <c r="N35" s="204"/>
      <c r="O35" s="193">
        <f t="shared" si="4"/>
        <v>5852</v>
      </c>
      <c r="P35" s="194">
        <f t="shared" si="5"/>
        <v>1.289</v>
      </c>
      <c r="Q35" s="197">
        <f>ROUND((L35)*O35/1000*P35,1)-0.2</f>
        <v>905</v>
      </c>
      <c r="R35" s="197">
        <f t="shared" si="6"/>
        <v>7.5</v>
      </c>
      <c r="S35" s="197">
        <f t="shared" si="7"/>
        <v>0</v>
      </c>
      <c r="T35" s="197">
        <f t="shared" si="8"/>
        <v>1055.8</v>
      </c>
      <c r="U35" s="198">
        <f>T35-'[1]2018-без налогов'!$AY28</f>
        <v>-167.79999999999995</v>
      </c>
      <c r="V35" s="199">
        <v>1055.8</v>
      </c>
      <c r="W35" s="200">
        <f t="shared" si="9"/>
        <v>0</v>
      </c>
    </row>
    <row r="36" spans="1:23" s="198" customFormat="1" ht="15.75">
      <c r="A36" s="188">
        <v>29</v>
      </c>
      <c r="B36" s="189" t="s">
        <v>20</v>
      </c>
      <c r="C36" s="222">
        <v>9720</v>
      </c>
      <c r="D36" s="223">
        <v>20</v>
      </c>
      <c r="E36" s="223"/>
      <c r="F36" s="224"/>
      <c r="G36" s="193">
        <v>5852</v>
      </c>
      <c r="H36" s="194">
        <f t="shared" si="0"/>
        <v>1.661</v>
      </c>
      <c r="I36" s="195">
        <f t="shared" si="1"/>
        <v>194.4</v>
      </c>
      <c r="J36" s="195">
        <f t="shared" si="2"/>
        <v>0</v>
      </c>
      <c r="K36" s="195">
        <f t="shared" si="3"/>
        <v>0</v>
      </c>
      <c r="L36" s="225">
        <v>104</v>
      </c>
      <c r="M36" s="225">
        <v>4</v>
      </c>
      <c r="N36" s="225"/>
      <c r="O36" s="193">
        <f t="shared" si="4"/>
        <v>5852</v>
      </c>
      <c r="P36" s="194">
        <f t="shared" si="5"/>
        <v>1.661</v>
      </c>
      <c r="Q36" s="197">
        <f>ROUND((L36)*O36/1000*P36,1)-0.1</f>
        <v>1010.8</v>
      </c>
      <c r="R36" s="197">
        <f t="shared" si="6"/>
        <v>38.9</v>
      </c>
      <c r="S36" s="197">
        <f t="shared" si="7"/>
        <v>0</v>
      </c>
      <c r="T36" s="197">
        <f t="shared" si="8"/>
        <v>1244.1000000000001</v>
      </c>
      <c r="U36" s="198">
        <f>T36-'[1]2018-без налогов'!$AY29</f>
        <v>-251.49999999999977</v>
      </c>
      <c r="V36" s="199">
        <v>1244.1</v>
      </c>
      <c r="W36" s="200">
        <f t="shared" si="9"/>
        <v>0</v>
      </c>
    </row>
    <row r="37" spans="1:23" s="198" customFormat="1" ht="15.75">
      <c r="A37" s="188">
        <v>30</v>
      </c>
      <c r="B37" s="189" t="s">
        <v>30</v>
      </c>
      <c r="C37" s="201">
        <v>38472</v>
      </c>
      <c r="D37" s="202"/>
      <c r="E37" s="202"/>
      <c r="F37" s="203"/>
      <c r="G37" s="193">
        <v>5852</v>
      </c>
      <c r="H37" s="194">
        <f t="shared" si="0"/>
        <v>6.574</v>
      </c>
      <c r="I37" s="195">
        <f t="shared" si="1"/>
        <v>0</v>
      </c>
      <c r="J37" s="195">
        <f t="shared" si="2"/>
        <v>0</v>
      </c>
      <c r="K37" s="195">
        <f t="shared" si="3"/>
        <v>0</v>
      </c>
      <c r="L37" s="204">
        <v>18</v>
      </c>
      <c r="M37" s="204"/>
      <c r="N37" s="204"/>
      <c r="O37" s="193">
        <f t="shared" si="4"/>
        <v>5852</v>
      </c>
      <c r="P37" s="194">
        <f t="shared" si="5"/>
        <v>6.574</v>
      </c>
      <c r="Q37" s="197">
        <f t="shared" si="10"/>
        <v>692.5</v>
      </c>
      <c r="R37" s="197">
        <f t="shared" si="6"/>
        <v>0</v>
      </c>
      <c r="S37" s="197">
        <f t="shared" si="7"/>
        <v>0</v>
      </c>
      <c r="T37" s="197">
        <f t="shared" si="8"/>
        <v>692.5</v>
      </c>
      <c r="U37" s="198">
        <f>T37-'[1]2018-без налогов'!$AY30</f>
        <v>-6.2000000000000455</v>
      </c>
      <c r="V37" s="199">
        <v>692.5</v>
      </c>
      <c r="W37" s="200">
        <f t="shared" si="9"/>
        <v>0</v>
      </c>
    </row>
    <row r="38" spans="1:23" s="198" customFormat="1" ht="15.75">
      <c r="A38" s="188">
        <v>31</v>
      </c>
      <c r="B38" s="189" t="s">
        <v>31</v>
      </c>
      <c r="C38" s="201">
        <v>26045</v>
      </c>
      <c r="D38" s="202"/>
      <c r="E38" s="202"/>
      <c r="F38" s="203"/>
      <c r="G38" s="193">
        <v>5852</v>
      </c>
      <c r="H38" s="194">
        <f t="shared" si="0"/>
        <v>4.451</v>
      </c>
      <c r="I38" s="195">
        <f t="shared" si="1"/>
        <v>0</v>
      </c>
      <c r="J38" s="195">
        <f t="shared" si="2"/>
        <v>0</v>
      </c>
      <c r="K38" s="195">
        <f t="shared" si="3"/>
        <v>0</v>
      </c>
      <c r="L38" s="204">
        <v>20</v>
      </c>
      <c r="M38" s="204"/>
      <c r="N38" s="204"/>
      <c r="O38" s="193">
        <f t="shared" si="4"/>
        <v>5852</v>
      </c>
      <c r="P38" s="194">
        <f t="shared" si="5"/>
        <v>4.451</v>
      </c>
      <c r="Q38" s="197">
        <f t="shared" si="10"/>
        <v>520.9</v>
      </c>
      <c r="R38" s="197">
        <f t="shared" si="6"/>
        <v>0</v>
      </c>
      <c r="S38" s="197">
        <f t="shared" si="7"/>
        <v>0</v>
      </c>
      <c r="T38" s="197">
        <f t="shared" si="8"/>
        <v>520.9</v>
      </c>
      <c r="U38" s="198">
        <f>T38-'[1]2018-без налогов'!$AY31</f>
        <v>-2.7000000000000455</v>
      </c>
      <c r="V38" s="199">
        <v>520.9</v>
      </c>
      <c r="W38" s="200">
        <f t="shared" si="9"/>
        <v>0</v>
      </c>
    </row>
    <row r="39" spans="1:23" s="198" customFormat="1" ht="15.75">
      <c r="A39" s="188">
        <v>32</v>
      </c>
      <c r="B39" s="189" t="s">
        <v>21</v>
      </c>
      <c r="C39" s="201">
        <v>10756</v>
      </c>
      <c r="D39" s="202"/>
      <c r="E39" s="202"/>
      <c r="F39" s="203"/>
      <c r="G39" s="193">
        <v>5852</v>
      </c>
      <c r="H39" s="194">
        <f t="shared" si="0"/>
        <v>1.838</v>
      </c>
      <c r="I39" s="195">
        <f t="shared" si="1"/>
        <v>0</v>
      </c>
      <c r="J39" s="195">
        <f t="shared" si="2"/>
        <v>0</v>
      </c>
      <c r="K39" s="195">
        <f t="shared" si="3"/>
        <v>0</v>
      </c>
      <c r="L39" s="204">
        <v>55</v>
      </c>
      <c r="M39" s="204"/>
      <c r="N39" s="204"/>
      <c r="O39" s="193">
        <f t="shared" si="4"/>
        <v>5852</v>
      </c>
      <c r="P39" s="194">
        <f t="shared" si="5"/>
        <v>1.838</v>
      </c>
      <c r="Q39" s="197">
        <f t="shared" si="10"/>
        <v>591.6</v>
      </c>
      <c r="R39" s="197">
        <f t="shared" si="6"/>
        <v>0</v>
      </c>
      <c r="S39" s="197">
        <f t="shared" si="7"/>
        <v>0</v>
      </c>
      <c r="T39" s="197">
        <f t="shared" si="8"/>
        <v>591.6</v>
      </c>
      <c r="U39" s="198">
        <f>T39-'[1]2018-без налогов'!$AY32</f>
        <v>-21.399999999999977</v>
      </c>
      <c r="V39" s="199">
        <v>591.6</v>
      </c>
      <c r="W39" s="200">
        <f t="shared" si="9"/>
        <v>0</v>
      </c>
    </row>
    <row r="40" spans="1:23" s="198" customFormat="1" ht="15.75">
      <c r="A40" s="188">
        <v>33</v>
      </c>
      <c r="B40" s="189" t="s">
        <v>32</v>
      </c>
      <c r="C40" s="206">
        <v>56217</v>
      </c>
      <c r="D40" s="207"/>
      <c r="E40" s="207"/>
      <c r="F40" s="208"/>
      <c r="G40" s="193">
        <v>5852</v>
      </c>
      <c r="H40" s="194">
        <f t="shared" si="0"/>
        <v>9.606</v>
      </c>
      <c r="I40" s="195">
        <f t="shared" si="1"/>
        <v>0</v>
      </c>
      <c r="J40" s="195">
        <f t="shared" si="2"/>
        <v>0</v>
      </c>
      <c r="K40" s="195">
        <f t="shared" si="3"/>
        <v>0</v>
      </c>
      <c r="L40" s="204">
        <v>12</v>
      </c>
      <c r="M40" s="204"/>
      <c r="N40" s="204"/>
      <c r="O40" s="193">
        <f t="shared" si="4"/>
        <v>5852</v>
      </c>
      <c r="P40" s="194">
        <f t="shared" si="5"/>
        <v>9.606</v>
      </c>
      <c r="Q40" s="197">
        <f t="shared" si="10"/>
        <v>674.6</v>
      </c>
      <c r="R40" s="197">
        <f t="shared" si="6"/>
        <v>0</v>
      </c>
      <c r="S40" s="197">
        <f t="shared" si="7"/>
        <v>0</v>
      </c>
      <c r="T40" s="197">
        <f t="shared" si="8"/>
        <v>674.6</v>
      </c>
      <c r="U40" s="198">
        <f>T40-'[1]2018-без налогов'!$AY33</f>
        <v>-76.29999999999995</v>
      </c>
      <c r="V40" s="199">
        <v>674.6</v>
      </c>
      <c r="W40" s="200">
        <f t="shared" si="9"/>
        <v>0</v>
      </c>
    </row>
    <row r="41" spans="1:23" s="198" customFormat="1" ht="17.25" customHeight="1">
      <c r="A41" s="188">
        <v>34</v>
      </c>
      <c r="B41" s="189" t="s">
        <v>33</v>
      </c>
      <c r="C41" s="206">
        <v>26013</v>
      </c>
      <c r="D41" s="207"/>
      <c r="E41" s="207"/>
      <c r="F41" s="208"/>
      <c r="G41" s="193">
        <v>5852</v>
      </c>
      <c r="H41" s="194">
        <f t="shared" si="0"/>
        <v>4.445</v>
      </c>
      <c r="I41" s="195">
        <f t="shared" si="1"/>
        <v>0</v>
      </c>
      <c r="J41" s="195">
        <f t="shared" si="2"/>
        <v>0</v>
      </c>
      <c r="K41" s="195">
        <f t="shared" si="3"/>
        <v>0</v>
      </c>
      <c r="L41" s="204">
        <v>30</v>
      </c>
      <c r="M41" s="204">
        <v>2</v>
      </c>
      <c r="N41" s="204"/>
      <c r="O41" s="193">
        <f t="shared" si="4"/>
        <v>5852</v>
      </c>
      <c r="P41" s="194">
        <f t="shared" si="5"/>
        <v>4.445</v>
      </c>
      <c r="Q41" s="197">
        <f t="shared" si="10"/>
        <v>780.4</v>
      </c>
      <c r="R41" s="197">
        <f t="shared" si="6"/>
        <v>52</v>
      </c>
      <c r="S41" s="197">
        <f t="shared" si="7"/>
        <v>0</v>
      </c>
      <c r="T41" s="197">
        <f t="shared" si="8"/>
        <v>832.4</v>
      </c>
      <c r="U41" s="198">
        <f>T41-'[1]2018-без налогов'!$AY34</f>
        <v>78.10000000000002</v>
      </c>
      <c r="V41" s="199">
        <v>832.4</v>
      </c>
      <c r="W41" s="200">
        <f t="shared" si="9"/>
        <v>0</v>
      </c>
    </row>
    <row r="42" spans="1:23" s="198" customFormat="1" ht="15.75">
      <c r="A42" s="188">
        <v>35</v>
      </c>
      <c r="B42" s="189" t="s">
        <v>34</v>
      </c>
      <c r="C42" s="201">
        <v>5852</v>
      </c>
      <c r="D42" s="202"/>
      <c r="E42" s="202"/>
      <c r="F42" s="203"/>
      <c r="G42" s="193">
        <v>5852</v>
      </c>
      <c r="H42" s="194">
        <f t="shared" si="0"/>
        <v>1</v>
      </c>
      <c r="I42" s="195">
        <f t="shared" si="1"/>
        <v>0</v>
      </c>
      <c r="J42" s="195">
        <f t="shared" si="2"/>
        <v>0</v>
      </c>
      <c r="K42" s="195">
        <f t="shared" si="3"/>
        <v>0</v>
      </c>
      <c r="L42" s="204">
        <v>27</v>
      </c>
      <c r="M42" s="204"/>
      <c r="N42" s="204"/>
      <c r="O42" s="193">
        <f t="shared" si="4"/>
        <v>5852</v>
      </c>
      <c r="P42" s="194">
        <f t="shared" si="5"/>
        <v>1</v>
      </c>
      <c r="Q42" s="197">
        <f t="shared" si="10"/>
        <v>158</v>
      </c>
      <c r="R42" s="197">
        <f t="shared" si="6"/>
        <v>0</v>
      </c>
      <c r="S42" s="197">
        <f t="shared" si="7"/>
        <v>0</v>
      </c>
      <c r="T42" s="197">
        <f t="shared" si="8"/>
        <v>158</v>
      </c>
      <c r="U42" s="198">
        <f>T42-'[1]2018-без налогов'!$AY35</f>
        <v>6.599999999999994</v>
      </c>
      <c r="V42" s="199">
        <v>158</v>
      </c>
      <c r="W42" s="200">
        <f t="shared" si="9"/>
        <v>0</v>
      </c>
    </row>
    <row r="43" spans="1:23" s="198" customFormat="1" ht="15.75">
      <c r="A43" s="188">
        <v>36</v>
      </c>
      <c r="B43" s="189" t="s">
        <v>35</v>
      </c>
      <c r="C43" s="201">
        <v>22397</v>
      </c>
      <c r="D43" s="202"/>
      <c r="E43" s="202"/>
      <c r="F43" s="203"/>
      <c r="G43" s="193">
        <v>5852</v>
      </c>
      <c r="H43" s="194">
        <f t="shared" si="0"/>
        <v>3.827</v>
      </c>
      <c r="I43" s="195">
        <f t="shared" si="1"/>
        <v>0</v>
      </c>
      <c r="J43" s="195">
        <f t="shared" si="2"/>
        <v>0</v>
      </c>
      <c r="K43" s="195">
        <f t="shared" si="3"/>
        <v>0</v>
      </c>
      <c r="L43" s="204">
        <v>32</v>
      </c>
      <c r="M43" s="204"/>
      <c r="N43" s="204">
        <v>1</v>
      </c>
      <c r="O43" s="193">
        <f t="shared" si="4"/>
        <v>5852</v>
      </c>
      <c r="P43" s="194">
        <f t="shared" si="5"/>
        <v>3.827</v>
      </c>
      <c r="Q43" s="197">
        <f t="shared" si="10"/>
        <v>716.7</v>
      </c>
      <c r="R43" s="197">
        <f t="shared" si="6"/>
        <v>0</v>
      </c>
      <c r="S43" s="197">
        <f t="shared" si="7"/>
        <v>22.4</v>
      </c>
      <c r="T43" s="197">
        <f t="shared" si="8"/>
        <v>739.1</v>
      </c>
      <c r="U43" s="198">
        <f>T43-'[1]2018-без налогов'!$AY36</f>
        <v>-281</v>
      </c>
      <c r="V43" s="199">
        <v>739.1</v>
      </c>
      <c r="W43" s="200">
        <f t="shared" si="9"/>
        <v>0</v>
      </c>
    </row>
    <row r="44" spans="1:23" s="218" customFormat="1" ht="16.5" customHeight="1">
      <c r="A44" s="188">
        <v>37</v>
      </c>
      <c r="B44" s="209" t="s">
        <v>36</v>
      </c>
      <c r="C44" s="219">
        <v>21565</v>
      </c>
      <c r="D44" s="220"/>
      <c r="E44" s="202"/>
      <c r="F44" s="203"/>
      <c r="G44" s="193">
        <v>5852</v>
      </c>
      <c r="H44" s="194">
        <f t="shared" si="0"/>
        <v>3.685</v>
      </c>
      <c r="I44" s="195">
        <f t="shared" si="1"/>
        <v>0</v>
      </c>
      <c r="J44" s="195">
        <f t="shared" si="2"/>
        <v>0</v>
      </c>
      <c r="K44" s="195">
        <f t="shared" si="3"/>
        <v>0</v>
      </c>
      <c r="L44" s="204">
        <v>20</v>
      </c>
      <c r="M44" s="204"/>
      <c r="N44" s="204"/>
      <c r="O44" s="193">
        <f t="shared" si="4"/>
        <v>5852</v>
      </c>
      <c r="P44" s="194">
        <f t="shared" si="5"/>
        <v>3.685</v>
      </c>
      <c r="Q44" s="197">
        <f t="shared" si="10"/>
        <v>431.3</v>
      </c>
      <c r="R44" s="197">
        <f t="shared" si="6"/>
        <v>0</v>
      </c>
      <c r="S44" s="197">
        <f t="shared" si="7"/>
        <v>0</v>
      </c>
      <c r="T44" s="197">
        <f t="shared" si="8"/>
        <v>431.3</v>
      </c>
      <c r="U44" s="198">
        <f>T44-'[1]2018-без налогов'!$AY37</f>
        <v>-2.599999999999966</v>
      </c>
      <c r="V44" s="217">
        <v>431.3</v>
      </c>
      <c r="W44" s="200">
        <f t="shared" si="9"/>
        <v>0</v>
      </c>
    </row>
    <row r="45" spans="1:23" s="218" customFormat="1" ht="15" customHeight="1">
      <c r="A45" s="188">
        <v>38</v>
      </c>
      <c r="B45" s="209" t="s">
        <v>37</v>
      </c>
      <c r="C45" s="219">
        <v>21321</v>
      </c>
      <c r="D45" s="220"/>
      <c r="E45" s="202"/>
      <c r="F45" s="203"/>
      <c r="G45" s="193">
        <v>5852</v>
      </c>
      <c r="H45" s="194">
        <f t="shared" si="0"/>
        <v>3.643</v>
      </c>
      <c r="I45" s="195">
        <f t="shared" si="1"/>
        <v>0</v>
      </c>
      <c r="J45" s="195">
        <f t="shared" si="2"/>
        <v>0</v>
      </c>
      <c r="K45" s="195">
        <f t="shared" si="3"/>
        <v>0</v>
      </c>
      <c r="L45" s="204">
        <v>33</v>
      </c>
      <c r="M45" s="204"/>
      <c r="N45" s="204">
        <v>1</v>
      </c>
      <c r="O45" s="193">
        <f t="shared" si="4"/>
        <v>5852</v>
      </c>
      <c r="P45" s="194">
        <f t="shared" si="5"/>
        <v>3.643</v>
      </c>
      <c r="Q45" s="197">
        <f>ROUND((L45)*O45/1000*P45,1)+0.1</f>
        <v>703.6</v>
      </c>
      <c r="R45" s="197">
        <f t="shared" si="6"/>
        <v>0</v>
      </c>
      <c r="S45" s="197">
        <f t="shared" si="7"/>
        <v>21.3</v>
      </c>
      <c r="T45" s="197">
        <f t="shared" si="8"/>
        <v>724.9</v>
      </c>
      <c r="U45" s="198">
        <f>T45-'[1]2018-без налогов'!$AY38</f>
        <v>-29.100000000000023</v>
      </c>
      <c r="V45" s="217">
        <v>724.9</v>
      </c>
      <c r="W45" s="200">
        <f t="shared" si="9"/>
        <v>0</v>
      </c>
    </row>
    <row r="46" spans="1:23" s="198" customFormat="1" ht="15.75" customHeight="1">
      <c r="A46" s="188">
        <v>39</v>
      </c>
      <c r="B46" s="189" t="s">
        <v>38</v>
      </c>
      <c r="C46" s="201">
        <v>13870</v>
      </c>
      <c r="D46" s="202"/>
      <c r="E46" s="202"/>
      <c r="F46" s="203"/>
      <c r="G46" s="193">
        <v>5852</v>
      </c>
      <c r="H46" s="194">
        <f t="shared" si="0"/>
        <v>2.37</v>
      </c>
      <c r="I46" s="195">
        <f t="shared" si="1"/>
        <v>0</v>
      </c>
      <c r="J46" s="195">
        <f t="shared" si="2"/>
        <v>0</v>
      </c>
      <c r="K46" s="195">
        <f t="shared" si="3"/>
        <v>0</v>
      </c>
      <c r="L46" s="204">
        <v>67</v>
      </c>
      <c r="M46" s="204"/>
      <c r="N46" s="204"/>
      <c r="O46" s="193">
        <f t="shared" si="4"/>
        <v>5852</v>
      </c>
      <c r="P46" s="194">
        <f t="shared" si="5"/>
        <v>2.37</v>
      </c>
      <c r="Q46" s="197">
        <f>ROUND((L46)*O46/1000*P46,1)+0.1</f>
        <v>929.3000000000001</v>
      </c>
      <c r="R46" s="197">
        <f t="shared" si="6"/>
        <v>0</v>
      </c>
      <c r="S46" s="197">
        <f t="shared" si="7"/>
        <v>0</v>
      </c>
      <c r="T46" s="197">
        <f t="shared" si="8"/>
        <v>929.3000000000001</v>
      </c>
      <c r="U46" s="198">
        <f>T46-'[1]2018-без налогов'!$AY39</f>
        <v>-173.29999999999984</v>
      </c>
      <c r="V46" s="199">
        <v>929.3</v>
      </c>
      <c r="W46" s="200">
        <f t="shared" si="9"/>
        <v>0</v>
      </c>
    </row>
    <row r="47" spans="1:23" s="198" customFormat="1" ht="15.75">
      <c r="A47" s="188">
        <v>40</v>
      </c>
      <c r="B47" s="189" t="s">
        <v>39</v>
      </c>
      <c r="C47" s="201">
        <v>54225</v>
      </c>
      <c r="D47" s="202"/>
      <c r="E47" s="202"/>
      <c r="F47" s="203"/>
      <c r="G47" s="193">
        <v>5852</v>
      </c>
      <c r="H47" s="194">
        <f t="shared" si="0"/>
        <v>9.266</v>
      </c>
      <c r="I47" s="195">
        <f t="shared" si="1"/>
        <v>0</v>
      </c>
      <c r="J47" s="195">
        <f t="shared" si="2"/>
        <v>0</v>
      </c>
      <c r="K47" s="195">
        <f t="shared" si="3"/>
        <v>0</v>
      </c>
      <c r="L47" s="204">
        <v>12</v>
      </c>
      <c r="M47" s="204"/>
      <c r="N47" s="204"/>
      <c r="O47" s="193">
        <f t="shared" si="4"/>
        <v>5852</v>
      </c>
      <c r="P47" s="194">
        <f t="shared" si="5"/>
        <v>9.266</v>
      </c>
      <c r="Q47" s="197">
        <f t="shared" si="10"/>
        <v>650.7</v>
      </c>
      <c r="R47" s="197">
        <f t="shared" si="6"/>
        <v>0</v>
      </c>
      <c r="S47" s="197">
        <f t="shared" si="7"/>
        <v>0</v>
      </c>
      <c r="T47" s="197">
        <f t="shared" si="8"/>
        <v>650.7</v>
      </c>
      <c r="U47" s="198">
        <f>T47-'[1]2018-без налогов'!$AY40</f>
        <v>-34.69999999999993</v>
      </c>
      <c r="V47" s="199">
        <v>650.7</v>
      </c>
      <c r="W47" s="200">
        <f t="shared" si="9"/>
        <v>0</v>
      </c>
    </row>
    <row r="48" spans="1:23" s="198" customFormat="1" ht="15.75">
      <c r="A48" s="188">
        <v>41</v>
      </c>
      <c r="B48" s="189" t="s">
        <v>22</v>
      </c>
      <c r="C48" s="226">
        <v>18503</v>
      </c>
      <c r="D48" s="226"/>
      <c r="E48" s="226"/>
      <c r="F48" s="226"/>
      <c r="G48" s="193">
        <v>5852</v>
      </c>
      <c r="H48" s="194">
        <f t="shared" si="0"/>
        <v>3.162</v>
      </c>
      <c r="I48" s="195">
        <f t="shared" si="1"/>
        <v>0</v>
      </c>
      <c r="J48" s="195">
        <f t="shared" si="2"/>
        <v>0</v>
      </c>
      <c r="K48" s="195">
        <f t="shared" si="3"/>
        <v>0</v>
      </c>
      <c r="L48" s="226">
        <v>39</v>
      </c>
      <c r="M48" s="226"/>
      <c r="N48" s="226"/>
      <c r="O48" s="193">
        <f t="shared" si="4"/>
        <v>5852</v>
      </c>
      <c r="P48" s="194">
        <f t="shared" si="5"/>
        <v>3.162</v>
      </c>
      <c r="Q48" s="197">
        <f>ROUND((L48)*O48/1000*P48,1)-0.1</f>
        <v>721.6</v>
      </c>
      <c r="R48" s="197">
        <f t="shared" si="6"/>
        <v>0</v>
      </c>
      <c r="S48" s="197">
        <f t="shared" si="7"/>
        <v>0</v>
      </c>
      <c r="T48" s="197">
        <f t="shared" si="8"/>
        <v>721.6</v>
      </c>
      <c r="U48" s="198">
        <f>T48-'[1]2018-без налогов'!$AY41</f>
        <v>-19.899999999999977</v>
      </c>
      <c r="V48" s="199">
        <v>721.6</v>
      </c>
      <c r="W48" s="200">
        <f t="shared" si="9"/>
        <v>0</v>
      </c>
    </row>
    <row r="49" spans="1:23" s="198" customFormat="1" ht="15.75">
      <c r="A49" s="188">
        <v>42</v>
      </c>
      <c r="B49" s="189" t="s">
        <v>40</v>
      </c>
      <c r="C49" s="201">
        <v>35495</v>
      </c>
      <c r="D49" s="202"/>
      <c r="E49" s="202"/>
      <c r="F49" s="203"/>
      <c r="G49" s="193">
        <v>5852</v>
      </c>
      <c r="H49" s="194">
        <f t="shared" si="0"/>
        <v>6.065</v>
      </c>
      <c r="I49" s="195">
        <f t="shared" si="1"/>
        <v>0</v>
      </c>
      <c r="J49" s="195">
        <f t="shared" si="2"/>
        <v>0</v>
      </c>
      <c r="K49" s="195">
        <f t="shared" si="3"/>
        <v>0</v>
      </c>
      <c r="L49" s="204">
        <v>20</v>
      </c>
      <c r="M49" s="204"/>
      <c r="N49" s="204"/>
      <c r="O49" s="193">
        <f t="shared" si="4"/>
        <v>5852</v>
      </c>
      <c r="P49" s="194">
        <f t="shared" si="5"/>
        <v>6.065</v>
      </c>
      <c r="Q49" s="197">
        <f>ROUND((L49)*O49/1000*P49,1)+0.1</f>
        <v>709.9</v>
      </c>
      <c r="R49" s="197">
        <f t="shared" si="6"/>
        <v>0</v>
      </c>
      <c r="S49" s="197">
        <f t="shared" si="7"/>
        <v>0</v>
      </c>
      <c r="T49" s="197">
        <f t="shared" si="8"/>
        <v>709.9</v>
      </c>
      <c r="U49" s="198">
        <f>T49-'[1]2018-без налогов'!$AY42</f>
        <v>-52.200000000000045</v>
      </c>
      <c r="V49" s="199">
        <v>709.9</v>
      </c>
      <c r="W49" s="200">
        <f t="shared" si="9"/>
        <v>0</v>
      </c>
    </row>
    <row r="50" spans="1:23" s="198" customFormat="1" ht="15.75">
      <c r="A50" s="188">
        <v>43</v>
      </c>
      <c r="B50" s="189" t="s">
        <v>41</v>
      </c>
      <c r="C50" s="201">
        <v>80313</v>
      </c>
      <c r="D50" s="202"/>
      <c r="E50" s="202"/>
      <c r="F50" s="203"/>
      <c r="G50" s="193">
        <v>5852</v>
      </c>
      <c r="H50" s="194">
        <f t="shared" si="0"/>
        <v>13.724</v>
      </c>
      <c r="I50" s="195">
        <f t="shared" si="1"/>
        <v>0</v>
      </c>
      <c r="J50" s="195">
        <f t="shared" si="2"/>
        <v>0</v>
      </c>
      <c r="K50" s="195">
        <f t="shared" si="3"/>
        <v>0</v>
      </c>
      <c r="L50" s="204">
        <v>8</v>
      </c>
      <c r="M50" s="204"/>
      <c r="N50" s="204"/>
      <c r="O50" s="193">
        <f t="shared" si="4"/>
        <v>5852</v>
      </c>
      <c r="P50" s="194">
        <f t="shared" si="5"/>
        <v>13.724</v>
      </c>
      <c r="Q50" s="197">
        <f t="shared" si="10"/>
        <v>642.5</v>
      </c>
      <c r="R50" s="197">
        <f t="shared" si="6"/>
        <v>0</v>
      </c>
      <c r="S50" s="197">
        <f t="shared" si="7"/>
        <v>0</v>
      </c>
      <c r="T50" s="197">
        <f t="shared" si="8"/>
        <v>642.5</v>
      </c>
      <c r="U50" s="198">
        <f>T50-'[1]2018-без налогов'!$AY43</f>
        <v>-6.2000000000000455</v>
      </c>
      <c r="V50" s="199">
        <v>642.5</v>
      </c>
      <c r="W50" s="200">
        <f t="shared" si="9"/>
        <v>0</v>
      </c>
    </row>
    <row r="51" spans="1:23" s="198" customFormat="1" ht="15.75">
      <c r="A51" s="188">
        <v>44</v>
      </c>
      <c r="B51" s="189" t="s">
        <v>42</v>
      </c>
      <c r="C51" s="201">
        <v>43414</v>
      </c>
      <c r="D51" s="202"/>
      <c r="E51" s="202"/>
      <c r="F51" s="203"/>
      <c r="G51" s="193">
        <v>5852</v>
      </c>
      <c r="H51" s="194">
        <f t="shared" si="0"/>
        <v>7.419</v>
      </c>
      <c r="I51" s="195">
        <f t="shared" si="1"/>
        <v>0</v>
      </c>
      <c r="J51" s="195">
        <f t="shared" si="2"/>
        <v>0</v>
      </c>
      <c r="K51" s="195">
        <f t="shared" si="3"/>
        <v>0</v>
      </c>
      <c r="L51" s="204">
        <v>14</v>
      </c>
      <c r="M51" s="204"/>
      <c r="N51" s="204"/>
      <c r="O51" s="193">
        <f t="shared" si="4"/>
        <v>5852</v>
      </c>
      <c r="P51" s="194">
        <f t="shared" si="5"/>
        <v>7.419</v>
      </c>
      <c r="Q51" s="197">
        <f t="shared" si="10"/>
        <v>607.8</v>
      </c>
      <c r="R51" s="197">
        <f t="shared" si="6"/>
        <v>0</v>
      </c>
      <c r="S51" s="197">
        <f t="shared" si="7"/>
        <v>0</v>
      </c>
      <c r="T51" s="197">
        <f t="shared" si="8"/>
        <v>607.8</v>
      </c>
      <c r="U51" s="198">
        <f>T51-'[1]2018-без налогов'!$AY44</f>
        <v>-12.5</v>
      </c>
      <c r="V51" s="199">
        <v>607.8</v>
      </c>
      <c r="W51" s="200">
        <f t="shared" si="9"/>
        <v>0</v>
      </c>
    </row>
    <row r="52" spans="1:23" s="198" customFormat="1" ht="15.75">
      <c r="A52" s="188">
        <v>45</v>
      </c>
      <c r="B52" s="189" t="s">
        <v>23</v>
      </c>
      <c r="C52" s="201">
        <v>23110</v>
      </c>
      <c r="D52" s="202"/>
      <c r="E52" s="202"/>
      <c r="F52" s="203"/>
      <c r="G52" s="193">
        <v>5852</v>
      </c>
      <c r="H52" s="194">
        <f t="shared" si="0"/>
        <v>3.949</v>
      </c>
      <c r="I52" s="195">
        <f t="shared" si="1"/>
        <v>0</v>
      </c>
      <c r="J52" s="195">
        <f t="shared" si="2"/>
        <v>0</v>
      </c>
      <c r="K52" s="195">
        <f t="shared" si="3"/>
        <v>0</v>
      </c>
      <c r="L52" s="204">
        <v>20</v>
      </c>
      <c r="M52" s="204"/>
      <c r="N52" s="204">
        <v>1</v>
      </c>
      <c r="O52" s="193">
        <f t="shared" si="4"/>
        <v>5852</v>
      </c>
      <c r="P52" s="194">
        <f t="shared" si="5"/>
        <v>3.949</v>
      </c>
      <c r="Q52" s="197">
        <f t="shared" si="10"/>
        <v>462.2</v>
      </c>
      <c r="R52" s="197">
        <f t="shared" si="6"/>
        <v>0</v>
      </c>
      <c r="S52" s="197">
        <f t="shared" si="7"/>
        <v>23.1</v>
      </c>
      <c r="T52" s="197">
        <f t="shared" si="8"/>
        <v>485.3</v>
      </c>
      <c r="V52" s="199">
        <v>485.3</v>
      </c>
      <c r="W52" s="200">
        <f t="shared" si="9"/>
        <v>0</v>
      </c>
    </row>
    <row r="53" spans="1:23" s="198" customFormat="1" ht="15.75">
      <c r="A53" s="188">
        <v>46</v>
      </c>
      <c r="B53" s="189" t="s">
        <v>43</v>
      </c>
      <c r="C53" s="201">
        <v>23276</v>
      </c>
      <c r="D53" s="202"/>
      <c r="E53" s="202"/>
      <c r="F53" s="203"/>
      <c r="G53" s="193">
        <v>5852</v>
      </c>
      <c r="H53" s="194">
        <f t="shared" si="0"/>
        <v>3.977</v>
      </c>
      <c r="I53" s="195">
        <f t="shared" si="1"/>
        <v>0</v>
      </c>
      <c r="J53" s="195">
        <f t="shared" si="2"/>
        <v>0</v>
      </c>
      <c r="K53" s="195">
        <f t="shared" si="3"/>
        <v>0</v>
      </c>
      <c r="L53" s="204">
        <v>21</v>
      </c>
      <c r="M53" s="204"/>
      <c r="N53" s="204"/>
      <c r="O53" s="193">
        <f t="shared" si="4"/>
        <v>5852</v>
      </c>
      <c r="P53" s="194">
        <f t="shared" si="5"/>
        <v>3.977</v>
      </c>
      <c r="Q53" s="197">
        <f>ROUND((L53)*O53/1000*P53,1)+0.1</f>
        <v>488.8</v>
      </c>
      <c r="R53" s="197">
        <f t="shared" si="6"/>
        <v>0</v>
      </c>
      <c r="S53" s="197">
        <f t="shared" si="7"/>
        <v>0</v>
      </c>
      <c r="T53" s="197">
        <f t="shared" si="8"/>
        <v>488.8</v>
      </c>
      <c r="U53" s="198">
        <f>T53-'[1]2018-без налогов'!$AY45</f>
        <v>-9.199999999999989</v>
      </c>
      <c r="V53" s="199">
        <v>488.8</v>
      </c>
      <c r="W53" s="200">
        <f t="shared" si="9"/>
        <v>0</v>
      </c>
    </row>
    <row r="54" spans="1:23" s="198" customFormat="1" ht="34.5" customHeight="1">
      <c r="A54" s="188">
        <v>47</v>
      </c>
      <c r="B54" s="209" t="s">
        <v>44</v>
      </c>
      <c r="C54" s="219">
        <v>30720</v>
      </c>
      <c r="D54" s="220"/>
      <c r="E54" s="202"/>
      <c r="F54" s="203"/>
      <c r="G54" s="193">
        <v>5852</v>
      </c>
      <c r="H54" s="194">
        <f t="shared" si="0"/>
        <v>5.249</v>
      </c>
      <c r="I54" s="195">
        <f t="shared" si="1"/>
        <v>0</v>
      </c>
      <c r="J54" s="195">
        <f t="shared" si="2"/>
        <v>0</v>
      </c>
      <c r="K54" s="195">
        <f t="shared" si="3"/>
        <v>0</v>
      </c>
      <c r="L54" s="226">
        <v>10</v>
      </c>
      <c r="M54" s="204"/>
      <c r="N54" s="204"/>
      <c r="O54" s="193">
        <f t="shared" si="4"/>
        <v>5852</v>
      </c>
      <c r="P54" s="194">
        <f t="shared" si="5"/>
        <v>5.249</v>
      </c>
      <c r="Q54" s="197">
        <f t="shared" si="10"/>
        <v>307.2</v>
      </c>
      <c r="R54" s="197">
        <f t="shared" si="6"/>
        <v>0</v>
      </c>
      <c r="S54" s="197">
        <f t="shared" si="7"/>
        <v>0</v>
      </c>
      <c r="T54" s="197">
        <f t="shared" si="8"/>
        <v>307.2</v>
      </c>
      <c r="U54" s="198">
        <f>T54-'[1]2018-без налогов'!$AY46</f>
        <v>-1.1000000000000227</v>
      </c>
      <c r="V54" s="199">
        <v>307.2</v>
      </c>
      <c r="W54" s="200">
        <f t="shared" si="9"/>
        <v>0</v>
      </c>
    </row>
    <row r="55" spans="1:23" s="218" customFormat="1" ht="31.5">
      <c r="A55" s="188">
        <v>48</v>
      </c>
      <c r="B55" s="209" t="s">
        <v>45</v>
      </c>
      <c r="C55" s="219">
        <v>21625</v>
      </c>
      <c r="D55" s="220"/>
      <c r="E55" s="220"/>
      <c r="F55" s="221"/>
      <c r="G55" s="193">
        <v>5852</v>
      </c>
      <c r="H55" s="194">
        <f t="shared" si="0"/>
        <v>3.695</v>
      </c>
      <c r="I55" s="195">
        <f t="shared" si="1"/>
        <v>0</v>
      </c>
      <c r="J55" s="195">
        <f t="shared" si="2"/>
        <v>0</v>
      </c>
      <c r="K55" s="195">
        <f t="shared" si="3"/>
        <v>0</v>
      </c>
      <c r="L55" s="226">
        <v>20</v>
      </c>
      <c r="M55" s="204"/>
      <c r="N55" s="204"/>
      <c r="O55" s="193">
        <f t="shared" si="4"/>
        <v>5852</v>
      </c>
      <c r="P55" s="194">
        <f t="shared" si="5"/>
        <v>3.695</v>
      </c>
      <c r="Q55" s="197">
        <f t="shared" si="10"/>
        <v>432.5</v>
      </c>
      <c r="R55" s="197">
        <f t="shared" si="6"/>
        <v>0</v>
      </c>
      <c r="S55" s="197">
        <f t="shared" si="7"/>
        <v>0</v>
      </c>
      <c r="T55" s="197">
        <f t="shared" si="8"/>
        <v>432.5</v>
      </c>
      <c r="U55" s="198">
        <f>T55-'[1]2018-без налогов'!$AY47</f>
        <v>-17.100000000000023</v>
      </c>
      <c r="V55" s="217">
        <v>432.5</v>
      </c>
      <c r="W55" s="200">
        <f t="shared" si="9"/>
        <v>0</v>
      </c>
    </row>
    <row r="56" spans="1:23" s="235" customFormat="1" ht="31.5" customHeight="1">
      <c r="A56" s="227"/>
      <c r="B56" s="228" t="s">
        <v>73</v>
      </c>
      <c r="C56" s="228"/>
      <c r="D56" s="229">
        <f>SUM(D8:D55)</f>
        <v>580</v>
      </c>
      <c r="E56" s="229">
        <f>SUM(E8:E55)</f>
        <v>1</v>
      </c>
      <c r="F56" s="229">
        <f>SUM(F8:F55)</f>
        <v>2</v>
      </c>
      <c r="G56" s="229"/>
      <c r="H56" s="230"/>
      <c r="I56" s="231"/>
      <c r="J56" s="231"/>
      <c r="K56" s="231"/>
      <c r="L56" s="229">
        <f>SUM(L8:L55)</f>
        <v>3154</v>
      </c>
      <c r="M56" s="229">
        <f>SUM(M8:M55)</f>
        <v>28</v>
      </c>
      <c r="N56" s="229">
        <f>SUM(N8:N55)</f>
        <v>24</v>
      </c>
      <c r="O56" s="229"/>
      <c r="P56" s="232"/>
      <c r="Q56" s="233">
        <f aca="true" t="shared" si="11" ref="Q56:W56">SUM(Q8:Q55)</f>
        <v>43589.6</v>
      </c>
      <c r="R56" s="233">
        <f t="shared" si="11"/>
        <v>408.19999999999993</v>
      </c>
      <c r="S56" s="233">
        <f t="shared" si="11"/>
        <v>403.7</v>
      </c>
      <c r="T56" s="233">
        <f t="shared" si="11"/>
        <v>53806.900000000016</v>
      </c>
      <c r="U56" s="233">
        <f t="shared" si="11"/>
        <v>-5020.5999999999985</v>
      </c>
      <c r="V56" s="234">
        <f t="shared" si="11"/>
        <v>53806.900000000016</v>
      </c>
      <c r="W56" s="234">
        <f t="shared" si="11"/>
        <v>0</v>
      </c>
    </row>
    <row r="57" spans="1:20" s="246" customFormat="1" ht="15.75">
      <c r="A57" s="236"/>
      <c r="B57" s="237"/>
      <c r="C57" s="237"/>
      <c r="D57" s="238"/>
      <c r="E57" s="239"/>
      <c r="F57" s="239"/>
      <c r="G57" s="240"/>
      <c r="H57" s="241"/>
      <c r="I57" s="242"/>
      <c r="J57" s="242"/>
      <c r="K57" s="242"/>
      <c r="L57" s="238"/>
      <c r="M57" s="238"/>
      <c r="N57" s="243"/>
      <c r="O57" s="240"/>
      <c r="P57" s="244"/>
      <c r="Q57" s="245"/>
      <c r="R57" s="245"/>
      <c r="S57" s="245"/>
      <c r="T57" s="245"/>
    </row>
    <row r="58" spans="1:20" s="246" customFormat="1" ht="15.75">
      <c r="A58" s="236"/>
      <c r="B58" s="237"/>
      <c r="C58" s="237"/>
      <c r="D58" s="239"/>
      <c r="E58" s="239"/>
      <c r="F58" s="239"/>
      <c r="G58" s="240"/>
      <c r="H58" s="241"/>
      <c r="I58" s="242"/>
      <c r="J58" s="242"/>
      <c r="K58" s="242"/>
      <c r="L58" s="238"/>
      <c r="M58" s="239"/>
      <c r="N58" s="166"/>
      <c r="O58" s="240"/>
      <c r="P58" s="244"/>
      <c r="Q58" s="245"/>
      <c r="R58" s="245"/>
      <c r="S58" s="245"/>
      <c r="T58" s="245"/>
    </row>
    <row r="59" spans="1:20" s="253" customFormat="1" ht="15.75">
      <c r="A59" s="247"/>
      <c r="B59" s="248"/>
      <c r="C59" s="248"/>
      <c r="D59" s="249"/>
      <c r="E59" s="249"/>
      <c r="F59" s="249"/>
      <c r="G59" s="250"/>
      <c r="H59" s="250"/>
      <c r="I59" s="251"/>
      <c r="J59" s="251"/>
      <c r="K59" s="251"/>
      <c r="L59" s="249"/>
      <c r="M59" s="249"/>
      <c r="N59" s="249"/>
      <c r="O59" s="250"/>
      <c r="P59" s="250"/>
      <c r="Q59" s="252"/>
      <c r="R59" s="252"/>
      <c r="S59" s="252"/>
      <c r="T59" s="252"/>
    </row>
    <row r="60" spans="1:16" ht="18" customHeight="1">
      <c r="A60" s="254"/>
      <c r="B60" s="255"/>
      <c r="C60" s="255"/>
      <c r="D60" s="255"/>
      <c r="E60" s="255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</row>
    <row r="61" spans="1:16" ht="15.75">
      <c r="A61" s="257"/>
      <c r="B61" s="258"/>
      <c r="C61" s="258"/>
      <c r="D61" s="258"/>
      <c r="E61" s="258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</row>
    <row r="62" spans="1:16" ht="15.75">
      <c r="A62" s="257"/>
      <c r="B62" s="258"/>
      <c r="C62" s="258"/>
      <c r="D62" s="258"/>
      <c r="E62" s="258"/>
      <c r="F62" s="260"/>
      <c r="G62" s="260"/>
      <c r="H62" s="260"/>
      <c r="I62" s="260"/>
      <c r="J62" s="260"/>
      <c r="K62" s="260"/>
      <c r="L62" s="261"/>
      <c r="M62" s="261"/>
      <c r="N62" s="261"/>
      <c r="O62" s="261"/>
      <c r="P62" s="261"/>
    </row>
    <row r="63" spans="1:16" ht="15.75">
      <c r="A63" s="257"/>
      <c r="B63" s="258"/>
      <c r="C63" s="258"/>
      <c r="D63" s="258"/>
      <c r="E63" s="258"/>
      <c r="F63" s="260"/>
      <c r="G63" s="260"/>
      <c r="H63" s="260"/>
      <c r="I63" s="260"/>
      <c r="J63" s="260"/>
      <c r="K63" s="260"/>
      <c r="L63" s="261"/>
      <c r="M63" s="261"/>
      <c r="N63" s="261"/>
      <c r="O63" s="261"/>
      <c r="P63" s="261"/>
    </row>
    <row r="64" spans="1:16" ht="15.75">
      <c r="A64" s="257"/>
      <c r="B64" s="258"/>
      <c r="C64" s="258"/>
      <c r="D64" s="258"/>
      <c r="E64" s="258"/>
      <c r="F64" s="260"/>
      <c r="G64" s="260"/>
      <c r="H64" s="260"/>
      <c r="I64" s="260"/>
      <c r="J64" s="260"/>
      <c r="K64" s="260"/>
      <c r="L64" s="261"/>
      <c r="M64" s="261"/>
      <c r="N64" s="261"/>
      <c r="O64" s="261"/>
      <c r="P64" s="261"/>
    </row>
    <row r="65" spans="1:16" ht="15.75">
      <c r="A65" s="257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1"/>
      <c r="M65" s="261"/>
      <c r="N65" s="261"/>
      <c r="O65" s="261"/>
      <c r="P65" s="261"/>
    </row>
    <row r="66" spans="1:16" ht="15.75">
      <c r="A66" s="257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1"/>
      <c r="M66" s="261"/>
      <c r="N66" s="261"/>
      <c r="O66" s="261"/>
      <c r="P66" s="261"/>
    </row>
    <row r="67" spans="1:16" ht="16.5" customHeight="1">
      <c r="A67" s="257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61"/>
      <c r="M67" s="261"/>
      <c r="N67" s="261"/>
      <c r="O67" s="261"/>
      <c r="P67" s="261"/>
    </row>
    <row r="68" spans="1:16" ht="15.75">
      <c r="A68" s="257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61"/>
      <c r="M68" s="261"/>
      <c r="N68" s="261"/>
      <c r="O68" s="261"/>
      <c r="P68" s="261"/>
    </row>
    <row r="69" spans="1:16" ht="15.75">
      <c r="A69" s="257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61"/>
      <c r="M69" s="261"/>
      <c r="N69" s="261"/>
      <c r="O69" s="261"/>
      <c r="P69" s="261"/>
    </row>
    <row r="70" spans="1:16" ht="15.75">
      <c r="A70" s="257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61"/>
      <c r="M70" s="261"/>
      <c r="N70" s="261"/>
      <c r="O70" s="261"/>
      <c r="P70" s="261"/>
    </row>
    <row r="71" spans="1:16" ht="15.75">
      <c r="A71" s="257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61"/>
      <c r="M71" s="261"/>
      <c r="N71" s="261"/>
      <c r="O71" s="261"/>
      <c r="P71" s="261"/>
    </row>
    <row r="72" spans="1:16" ht="15.75">
      <c r="A72" s="257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61"/>
      <c r="M72" s="261"/>
      <c r="N72" s="261"/>
      <c r="O72" s="261"/>
      <c r="P72" s="261"/>
    </row>
    <row r="73" spans="1:16" ht="15.75">
      <c r="A73" s="257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4"/>
      <c r="M73" s="264"/>
      <c r="N73" s="264"/>
      <c r="O73" s="264"/>
      <c r="P73" s="264"/>
    </row>
    <row r="74" spans="1:16" s="266" customFormat="1" ht="16.5" customHeight="1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</row>
    <row r="75" spans="1:16" ht="15.75">
      <c r="A75" s="257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1"/>
      <c r="M75" s="261"/>
      <c r="N75" s="261"/>
      <c r="O75" s="261"/>
      <c r="P75" s="261"/>
    </row>
    <row r="76" spans="1:16" ht="15.75">
      <c r="A76" s="257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1"/>
      <c r="M76" s="261"/>
      <c r="N76" s="261"/>
      <c r="O76" s="261"/>
      <c r="P76" s="261"/>
    </row>
    <row r="77" spans="1:16" ht="15.75">
      <c r="A77" s="257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1"/>
      <c r="M77" s="261"/>
      <c r="N77" s="261"/>
      <c r="O77" s="261"/>
      <c r="P77" s="261"/>
    </row>
    <row r="78" spans="1:16" ht="15.75">
      <c r="A78" s="257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1"/>
      <c r="M78" s="261"/>
      <c r="N78" s="261"/>
      <c r="O78" s="261"/>
      <c r="P78" s="261"/>
    </row>
    <row r="79" spans="1:16" ht="18" customHeight="1">
      <c r="A79" s="257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1"/>
      <c r="M79" s="261"/>
      <c r="N79" s="261"/>
      <c r="O79" s="261"/>
      <c r="P79" s="261"/>
    </row>
    <row r="80" spans="1:16" ht="15.75">
      <c r="A80" s="257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1"/>
      <c r="M80" s="261"/>
      <c r="N80" s="261"/>
      <c r="O80" s="261"/>
      <c r="P80" s="261"/>
    </row>
    <row r="81" spans="1:16" ht="15.75">
      <c r="A81" s="257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1"/>
      <c r="M81" s="261"/>
      <c r="N81" s="261"/>
      <c r="O81" s="261"/>
      <c r="P81" s="261"/>
    </row>
    <row r="82" spans="1:16" ht="15.75">
      <c r="A82" s="257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1"/>
      <c r="M82" s="261"/>
      <c r="N82" s="261"/>
      <c r="O82" s="261"/>
      <c r="P82" s="261"/>
    </row>
    <row r="83" spans="1:16" ht="15.75">
      <c r="A83" s="257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1"/>
      <c r="M83" s="261"/>
      <c r="N83" s="261"/>
      <c r="O83" s="261"/>
      <c r="P83" s="261"/>
    </row>
    <row r="84" spans="1:16" ht="15.75">
      <c r="A84" s="257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1"/>
      <c r="M84" s="261"/>
      <c r="N84" s="261"/>
      <c r="O84" s="261"/>
      <c r="P84" s="261"/>
    </row>
    <row r="85" spans="1:16" ht="15.75">
      <c r="A85" s="257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61"/>
      <c r="M85" s="261"/>
      <c r="N85" s="261"/>
      <c r="O85" s="261"/>
      <c r="P85" s="261"/>
    </row>
    <row r="86" spans="1:16" ht="15.75">
      <c r="A86" s="257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61"/>
      <c r="M86" s="261"/>
      <c r="N86" s="261"/>
      <c r="O86" s="261"/>
      <c r="P86" s="261"/>
    </row>
    <row r="87" spans="1:16" ht="15.75">
      <c r="A87" s="257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61"/>
      <c r="M87" s="261"/>
      <c r="N87" s="261"/>
      <c r="O87" s="261"/>
      <c r="P87" s="261"/>
    </row>
    <row r="88" spans="1:16" ht="15.75">
      <c r="A88" s="257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61"/>
      <c r="M88" s="261"/>
      <c r="N88" s="261"/>
      <c r="O88" s="261"/>
      <c r="P88" s="261"/>
    </row>
    <row r="89" spans="1:16" ht="15.75">
      <c r="A89" s="257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61"/>
      <c r="M89" s="261"/>
      <c r="N89" s="261"/>
      <c r="O89" s="261"/>
      <c r="P89" s="261"/>
    </row>
    <row r="90" spans="1:16" ht="15.75">
      <c r="A90" s="257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61"/>
      <c r="M90" s="261"/>
      <c r="N90" s="261"/>
      <c r="O90" s="261"/>
      <c r="P90" s="261"/>
    </row>
    <row r="91" spans="1:16" ht="15.75">
      <c r="A91" s="257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61"/>
      <c r="M91" s="261"/>
      <c r="N91" s="261"/>
      <c r="O91" s="261"/>
      <c r="P91" s="261"/>
    </row>
    <row r="92" spans="1:16" ht="15.75">
      <c r="A92" s="257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61"/>
      <c r="M92" s="261"/>
      <c r="N92" s="261"/>
      <c r="O92" s="261"/>
      <c r="P92" s="261"/>
    </row>
    <row r="93" spans="1:16" ht="15.75">
      <c r="A93" s="257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61"/>
      <c r="M93" s="261"/>
      <c r="N93" s="261"/>
      <c r="O93" s="261"/>
      <c r="P93" s="261"/>
    </row>
    <row r="94" spans="1:16" ht="15.75">
      <c r="A94" s="257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61"/>
      <c r="M94" s="261"/>
      <c r="N94" s="261"/>
      <c r="O94" s="261"/>
      <c r="P94" s="261"/>
    </row>
    <row r="95" spans="1:16" ht="15.75">
      <c r="A95" s="257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61"/>
      <c r="M95" s="261"/>
      <c r="N95" s="261"/>
      <c r="O95" s="261"/>
      <c r="P95" s="261"/>
    </row>
    <row r="96" spans="1:16" ht="15.75">
      <c r="A96" s="257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61"/>
      <c r="M96" s="261"/>
      <c r="N96" s="261"/>
      <c r="O96" s="261"/>
      <c r="P96" s="261"/>
    </row>
    <row r="97" spans="1:16" ht="15.75">
      <c r="A97" s="257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61"/>
      <c r="M97" s="261"/>
      <c r="N97" s="261"/>
      <c r="O97" s="261"/>
      <c r="P97" s="261"/>
    </row>
    <row r="98" spans="1:16" ht="15.75">
      <c r="A98" s="257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61"/>
      <c r="M98" s="261"/>
      <c r="N98" s="261"/>
      <c r="O98" s="261"/>
      <c r="P98" s="261"/>
    </row>
    <row r="99" spans="1:16" ht="15.75">
      <c r="A99" s="257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61"/>
      <c r="M99" s="261"/>
      <c r="N99" s="261"/>
      <c r="O99" s="261"/>
      <c r="P99" s="261"/>
    </row>
    <row r="100" spans="1:16" ht="15.75">
      <c r="A100" s="257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61"/>
      <c r="M100" s="261"/>
      <c r="N100" s="261"/>
      <c r="O100" s="261"/>
      <c r="P100" s="261"/>
    </row>
    <row r="101" spans="1:16" ht="15.75">
      <c r="A101" s="257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61"/>
      <c r="M101" s="261"/>
      <c r="N101" s="261"/>
      <c r="O101" s="261"/>
      <c r="P101" s="261"/>
    </row>
    <row r="102" spans="1:16" ht="15.75">
      <c r="A102" s="257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61"/>
      <c r="M102" s="261"/>
      <c r="N102" s="261"/>
      <c r="O102" s="261"/>
      <c r="P102" s="261"/>
    </row>
    <row r="103" spans="1:16" ht="15.75">
      <c r="A103" s="257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61"/>
      <c r="M103" s="261"/>
      <c r="N103" s="261"/>
      <c r="O103" s="261"/>
      <c r="P103" s="261"/>
    </row>
    <row r="104" spans="1:16" ht="15.75">
      <c r="A104" s="257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61"/>
      <c r="M104" s="261"/>
      <c r="N104" s="261"/>
      <c r="O104" s="261"/>
      <c r="P104" s="261"/>
    </row>
    <row r="105" spans="1:16" ht="15.75">
      <c r="A105" s="257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61"/>
      <c r="M105" s="261"/>
      <c r="N105" s="261"/>
      <c r="O105" s="261"/>
      <c r="P105" s="261"/>
    </row>
    <row r="106" spans="1:16" ht="15.75">
      <c r="A106" s="257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61"/>
      <c r="M106" s="261"/>
      <c r="N106" s="261"/>
      <c r="O106" s="261"/>
      <c r="P106" s="261"/>
    </row>
    <row r="107" spans="1:16" ht="15.75">
      <c r="A107" s="257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61"/>
      <c r="M107" s="261"/>
      <c r="N107" s="261"/>
      <c r="O107" s="261"/>
      <c r="P107" s="261"/>
    </row>
    <row r="108" spans="1:16" ht="15.75">
      <c r="A108" s="257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61"/>
      <c r="M108" s="261"/>
      <c r="N108" s="261"/>
      <c r="O108" s="261"/>
      <c r="P108" s="261"/>
    </row>
    <row r="109" spans="1:16" ht="15.75">
      <c r="A109" s="257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61"/>
      <c r="M109" s="261"/>
      <c r="N109" s="261"/>
      <c r="O109" s="261"/>
      <c r="P109" s="261"/>
    </row>
    <row r="110" spans="1:16" ht="15.75">
      <c r="A110" s="257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61"/>
      <c r="M110" s="261"/>
      <c r="N110" s="261"/>
      <c r="O110" s="261"/>
      <c r="P110" s="261"/>
    </row>
    <row r="111" spans="1:16" ht="15.75">
      <c r="A111" s="257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61"/>
      <c r="M111" s="261"/>
      <c r="N111" s="261"/>
      <c r="O111" s="261"/>
      <c r="P111" s="261"/>
    </row>
    <row r="112" spans="1:16" ht="15.75">
      <c r="A112" s="257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61"/>
      <c r="M112" s="261"/>
      <c r="N112" s="261"/>
      <c r="O112" s="261"/>
      <c r="P112" s="261"/>
    </row>
    <row r="113" spans="1:16" ht="15.75">
      <c r="A113" s="257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61"/>
      <c r="M113" s="261"/>
      <c r="N113" s="261"/>
      <c r="O113" s="261"/>
      <c r="P113" s="261"/>
    </row>
    <row r="114" spans="1:16" ht="15.75">
      <c r="A114" s="257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61"/>
      <c r="M114" s="261"/>
      <c r="N114" s="261"/>
      <c r="O114" s="261"/>
      <c r="P114" s="261"/>
    </row>
    <row r="115" spans="1:16" ht="15.75">
      <c r="A115" s="257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61"/>
      <c r="M115" s="261"/>
      <c r="N115" s="261"/>
      <c r="O115" s="261"/>
      <c r="P115" s="261"/>
    </row>
    <row r="116" spans="1:16" ht="15.75">
      <c r="A116" s="257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61"/>
      <c r="M116" s="261"/>
      <c r="N116" s="261"/>
      <c r="O116" s="261"/>
      <c r="P116" s="261"/>
    </row>
    <row r="117" spans="1:16" ht="15.75">
      <c r="A117" s="257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61"/>
      <c r="M117" s="261"/>
      <c r="N117" s="261"/>
      <c r="O117" s="261"/>
      <c r="P117" s="261"/>
    </row>
    <row r="118" spans="1:16" ht="15.75">
      <c r="A118" s="257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61"/>
      <c r="M118" s="261"/>
      <c r="N118" s="261"/>
      <c r="O118" s="261"/>
      <c r="P118" s="261"/>
    </row>
    <row r="119" spans="1:16" ht="15.75">
      <c r="A119" s="267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4"/>
      <c r="M119" s="264"/>
      <c r="N119" s="264"/>
      <c r="O119" s="264"/>
      <c r="P119" s="264"/>
    </row>
    <row r="120" spans="1:16" ht="15.75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9"/>
      <c r="M120" s="269"/>
      <c r="N120" s="269"/>
      <c r="O120" s="269"/>
      <c r="P120" s="269"/>
    </row>
    <row r="121" spans="1:16" ht="15.75">
      <c r="A121" s="267"/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1"/>
      <c r="M121" s="261"/>
      <c r="N121" s="261"/>
      <c r="O121" s="261"/>
      <c r="P121" s="261"/>
    </row>
  </sheetData>
  <sheetProtection/>
  <mergeCells count="27">
    <mergeCell ref="V5:V6"/>
    <mergeCell ref="W5:W6"/>
    <mergeCell ref="A74:P74"/>
    <mergeCell ref="D5:F5"/>
    <mergeCell ref="L5:N5"/>
    <mergeCell ref="G5:G6"/>
    <mergeCell ref="H5:H6"/>
    <mergeCell ref="J5:J6"/>
    <mergeCell ref="K5:K6"/>
    <mergeCell ref="P5:P6"/>
    <mergeCell ref="Q5:Q6"/>
    <mergeCell ref="A3:A6"/>
    <mergeCell ref="B3:B6"/>
    <mergeCell ref="O5:O6"/>
    <mergeCell ref="P3:T3"/>
    <mergeCell ref="P4:T4"/>
    <mergeCell ref="R5:R6"/>
    <mergeCell ref="S5:S6"/>
    <mergeCell ref="T5:T6"/>
    <mergeCell ref="G1:H1"/>
    <mergeCell ref="E2:H2"/>
    <mergeCell ref="I3:O3"/>
    <mergeCell ref="I4:O4"/>
    <mergeCell ref="I5:I6"/>
    <mergeCell ref="C4:H4"/>
    <mergeCell ref="C5:C6"/>
    <mergeCell ref="C3:H3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4" r:id="rId1"/>
  <rowBreaks count="1" manualBreakCount="1">
    <brk id="59" max="255" man="1"/>
  </rowBreaks>
  <colBreaks count="1" manualBreakCount="1">
    <brk id="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"/>
  <sheetViews>
    <sheetView tabSelected="1" view="pageBreakPreview" zoomScale="81" zoomScaleNormal="71" zoomScaleSheetLayoutView="81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5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42.421875" style="13" customWidth="1"/>
    <col min="4" max="4" width="24.140625" style="1" customWidth="1"/>
    <col min="5" max="5" width="16.140625" style="1" customWidth="1"/>
    <col min="6" max="6" width="17.28125" style="1" customWidth="1"/>
    <col min="7" max="7" width="9.140625" style="1" customWidth="1"/>
    <col min="8" max="16384" width="9.140625" style="1" customWidth="1"/>
  </cols>
  <sheetData>
    <row r="1" spans="1:6" ht="15.75">
      <c r="A1" s="115"/>
      <c r="E1" s="125" t="s">
        <v>103</v>
      </c>
      <c r="F1" s="125"/>
    </row>
    <row r="2" spans="3:6" ht="18.75">
      <c r="C2" s="126" t="s">
        <v>89</v>
      </c>
      <c r="D2" s="126"/>
      <c r="E2" s="126"/>
      <c r="F2" s="126"/>
    </row>
    <row r="3" spans="1:6" ht="36" customHeight="1">
      <c r="A3" s="131" t="s">
        <v>0</v>
      </c>
      <c r="B3" s="128" t="s">
        <v>63</v>
      </c>
      <c r="C3" s="137" t="s">
        <v>96</v>
      </c>
      <c r="D3" s="138"/>
      <c r="E3" s="138"/>
      <c r="F3" s="139"/>
    </row>
    <row r="4" spans="1:6" ht="27.75" customHeight="1">
      <c r="A4" s="132"/>
      <c r="B4" s="129"/>
      <c r="C4" s="137" t="s">
        <v>46</v>
      </c>
      <c r="D4" s="138"/>
      <c r="E4" s="138"/>
      <c r="F4" s="139"/>
    </row>
    <row r="5" spans="1:6" ht="93.75" customHeight="1">
      <c r="A5" s="132"/>
      <c r="B5" s="129"/>
      <c r="C5" s="111" t="s">
        <v>97</v>
      </c>
      <c r="D5" s="114" t="s">
        <v>98</v>
      </c>
      <c r="E5" s="114" t="s">
        <v>99</v>
      </c>
      <c r="F5" s="116" t="s">
        <v>83</v>
      </c>
    </row>
    <row r="6" spans="1:6" s="15" customFormat="1" ht="17.2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s="24" customFormat="1" ht="15.75">
      <c r="A7" s="29">
        <v>1</v>
      </c>
      <c r="B7" s="22" t="s">
        <v>1</v>
      </c>
      <c r="C7" s="37">
        <f>'ФО непосредств.затрат'!AA8</f>
        <v>480</v>
      </c>
      <c r="D7" s="36">
        <f>'ФО общехоз.затрат'!T8</f>
        <v>1054.4</v>
      </c>
      <c r="E7" s="117">
        <v>38.1</v>
      </c>
      <c r="F7" s="36">
        <f>SUM(C7:E7)</f>
        <v>1572.5</v>
      </c>
    </row>
    <row r="8" spans="1:6" s="24" customFormat="1" ht="15.75">
      <c r="A8" s="29">
        <v>2</v>
      </c>
      <c r="B8" s="22" t="s">
        <v>90</v>
      </c>
      <c r="C8" s="37">
        <f>'ФО непосредств.затрат'!AA9</f>
        <v>1425.7</v>
      </c>
      <c r="D8" s="36">
        <f>'ФО общехоз.затрат'!T9</f>
        <v>4112.8</v>
      </c>
      <c r="E8" s="117">
        <v>1298.7</v>
      </c>
      <c r="F8" s="36">
        <f aca="true" t="shared" si="0" ref="F8:F54">SUM(C8:E8)</f>
        <v>6837.2</v>
      </c>
    </row>
    <row r="9" spans="1:6" s="24" customFormat="1" ht="15.75">
      <c r="A9" s="29">
        <v>3</v>
      </c>
      <c r="B9" s="22" t="s">
        <v>2</v>
      </c>
      <c r="C9" s="37">
        <f>'ФО непосредств.затрат'!AA10</f>
        <v>692</v>
      </c>
      <c r="D9" s="36">
        <f>'ФО общехоз.затрат'!T10</f>
        <v>1122.6</v>
      </c>
      <c r="E9" s="117">
        <v>44.2</v>
      </c>
      <c r="F9" s="36">
        <f t="shared" si="0"/>
        <v>1858.8</v>
      </c>
    </row>
    <row r="10" spans="1:6" s="24" customFormat="1" ht="15.75">
      <c r="A10" s="29">
        <v>4</v>
      </c>
      <c r="B10" s="22" t="s">
        <v>91</v>
      </c>
      <c r="C10" s="37">
        <f>'ФО непосредств.затрат'!AA11</f>
        <v>665.3000000000001</v>
      </c>
      <c r="D10" s="36">
        <f>'ФО общехоз.затрат'!T11</f>
        <v>3728.2</v>
      </c>
      <c r="E10" s="117">
        <v>1067.9</v>
      </c>
      <c r="F10" s="36">
        <f t="shared" si="0"/>
        <v>5461.4</v>
      </c>
    </row>
    <row r="11" spans="1:6" s="24" customFormat="1" ht="15.75">
      <c r="A11" s="29">
        <v>5</v>
      </c>
      <c r="B11" s="22" t="s">
        <v>92</v>
      </c>
      <c r="C11" s="37">
        <f>'ФО непосредств.затрат'!AA12</f>
        <v>467.4</v>
      </c>
      <c r="D11" s="36">
        <f>'ФО общехоз.затрат'!T12</f>
        <v>3508.7</v>
      </c>
      <c r="E11" s="117">
        <v>1006.4</v>
      </c>
      <c r="F11" s="36">
        <f t="shared" si="0"/>
        <v>4982.5</v>
      </c>
    </row>
    <row r="12" spans="1:6" s="24" customFormat="1" ht="15.75">
      <c r="A12" s="29">
        <v>6</v>
      </c>
      <c r="B12" s="22" t="s">
        <v>3</v>
      </c>
      <c r="C12" s="37">
        <f>'ФО непосредств.затрат'!AA13</f>
        <v>700.5</v>
      </c>
      <c r="D12" s="36">
        <f>'ФО общехоз.затрат'!T13</f>
        <v>1253.1</v>
      </c>
      <c r="E12" s="117">
        <v>58.6</v>
      </c>
      <c r="F12" s="36">
        <f t="shared" si="0"/>
        <v>2012.1999999999998</v>
      </c>
    </row>
    <row r="13" spans="1:6" s="24" customFormat="1" ht="15.75">
      <c r="A13" s="29">
        <v>7</v>
      </c>
      <c r="B13" s="22" t="s">
        <v>4</v>
      </c>
      <c r="C13" s="37">
        <f>'ФО непосредств.затрат'!AA14</f>
        <v>1527.2</v>
      </c>
      <c r="D13" s="36">
        <f>'ФО общехоз.затрат'!T14</f>
        <v>1884.3</v>
      </c>
      <c r="E13" s="117">
        <v>119.5</v>
      </c>
      <c r="F13" s="36">
        <f t="shared" si="0"/>
        <v>3531</v>
      </c>
    </row>
    <row r="14" spans="1:6" s="24" customFormat="1" ht="15.75">
      <c r="A14" s="29">
        <v>8</v>
      </c>
      <c r="B14" s="22" t="s">
        <v>5</v>
      </c>
      <c r="C14" s="37">
        <f>'ФО непосредств.затрат'!AA15</f>
        <v>1564.1</v>
      </c>
      <c r="D14" s="36">
        <f>'ФО общехоз.затрат'!T15</f>
        <v>1890</v>
      </c>
      <c r="E14" s="117">
        <v>108.2</v>
      </c>
      <c r="F14" s="36">
        <f t="shared" si="0"/>
        <v>3562.2999999999997</v>
      </c>
    </row>
    <row r="15" spans="1:6" s="24" customFormat="1" ht="15.75">
      <c r="A15" s="29">
        <v>9</v>
      </c>
      <c r="B15" s="22" t="s">
        <v>6</v>
      </c>
      <c r="C15" s="37">
        <f>'ФО непосредств.затрат'!AA16</f>
        <v>666.4</v>
      </c>
      <c r="D15" s="36">
        <f>'ФО общехоз.затрат'!T16</f>
        <v>1248.5</v>
      </c>
      <c r="E15" s="117">
        <v>43.1</v>
      </c>
      <c r="F15" s="36">
        <f t="shared" si="0"/>
        <v>1958</v>
      </c>
    </row>
    <row r="16" spans="1:6" s="24" customFormat="1" ht="15.75">
      <c r="A16" s="29">
        <v>10</v>
      </c>
      <c r="B16" s="22" t="s">
        <v>7</v>
      </c>
      <c r="C16" s="37">
        <f>'ФО непосредств.затрат'!AA17</f>
        <v>1263.5</v>
      </c>
      <c r="D16" s="36">
        <f>'ФО общехоз.затрат'!T17</f>
        <v>2051.5</v>
      </c>
      <c r="E16" s="117">
        <v>193.4</v>
      </c>
      <c r="F16" s="36">
        <f t="shared" si="0"/>
        <v>3508.4</v>
      </c>
    </row>
    <row r="17" spans="1:6" s="24" customFormat="1" ht="15.75">
      <c r="A17" s="29">
        <v>11</v>
      </c>
      <c r="B17" s="22" t="s">
        <v>8</v>
      </c>
      <c r="C17" s="37">
        <f>'ФО непосредств.затрат'!AA18</f>
        <v>1406.4999999999998</v>
      </c>
      <c r="D17" s="36">
        <f>'ФО общехоз.затрат'!T18</f>
        <v>1916.6999999999998</v>
      </c>
      <c r="E17" s="117">
        <v>110.9</v>
      </c>
      <c r="F17" s="36">
        <f t="shared" si="0"/>
        <v>3434.1</v>
      </c>
    </row>
    <row r="18" spans="1:6" s="24" customFormat="1" ht="15.75">
      <c r="A18" s="29">
        <v>12</v>
      </c>
      <c r="B18" s="22" t="s">
        <v>9</v>
      </c>
      <c r="C18" s="37">
        <f>'ФО непосредств.затрат'!AA19</f>
        <v>1258.7000000000003</v>
      </c>
      <c r="D18" s="36">
        <f>'ФО общехоз.затрат'!T19</f>
        <v>2197</v>
      </c>
      <c r="E18" s="117">
        <v>156.4</v>
      </c>
      <c r="F18" s="36">
        <f t="shared" si="0"/>
        <v>3612.1000000000004</v>
      </c>
    </row>
    <row r="19" spans="1:6" s="24" customFormat="1" ht="15.75">
      <c r="A19" s="29">
        <v>13</v>
      </c>
      <c r="B19" s="22" t="s">
        <v>10</v>
      </c>
      <c r="C19" s="37">
        <f>'ФО непосредств.затрат'!AA20</f>
        <v>1384.3999999999999</v>
      </c>
      <c r="D19" s="36">
        <f>'ФО общехоз.затрат'!T20</f>
        <v>2007.1</v>
      </c>
      <c r="E19" s="117">
        <v>246.6</v>
      </c>
      <c r="F19" s="36">
        <f t="shared" si="0"/>
        <v>3638.1</v>
      </c>
    </row>
    <row r="20" spans="1:6" s="24" customFormat="1" ht="15.75">
      <c r="A20" s="29">
        <v>14</v>
      </c>
      <c r="B20" s="25" t="s">
        <v>11</v>
      </c>
      <c r="C20" s="37">
        <f>'ФО непосредств.затрат'!AA21</f>
        <v>501.3</v>
      </c>
      <c r="D20" s="36">
        <f>'ФО общехоз.затрат'!T21</f>
        <v>1825.2</v>
      </c>
      <c r="E20" s="117">
        <v>503.1</v>
      </c>
      <c r="F20" s="36">
        <f t="shared" si="0"/>
        <v>2829.6</v>
      </c>
    </row>
    <row r="21" spans="1:6" s="24" customFormat="1" ht="15.75">
      <c r="A21" s="29">
        <v>15</v>
      </c>
      <c r="B21" s="22" t="s">
        <v>25</v>
      </c>
      <c r="C21" s="37">
        <f>'ФО непосредств.затрат'!AA22</f>
        <v>102.3</v>
      </c>
      <c r="D21" s="36">
        <f>'ФО общехоз.затрат'!T22</f>
        <v>733.5</v>
      </c>
      <c r="E21" s="117">
        <v>3.1</v>
      </c>
      <c r="F21" s="36">
        <f t="shared" si="0"/>
        <v>838.9</v>
      </c>
    </row>
    <row r="22" spans="1:6" s="24" customFormat="1" ht="15.75">
      <c r="A22" s="29">
        <v>16</v>
      </c>
      <c r="B22" s="22" t="s">
        <v>24</v>
      </c>
      <c r="C22" s="37">
        <f>'ФО непосредств.затрат'!AA23</f>
        <v>100.5</v>
      </c>
      <c r="D22" s="36">
        <f>'ФО общехоз.затрат'!T23</f>
        <v>440.2</v>
      </c>
      <c r="E22" s="117">
        <v>5.4</v>
      </c>
      <c r="F22" s="36">
        <f t="shared" si="0"/>
        <v>546.1</v>
      </c>
    </row>
    <row r="23" spans="1:6" s="24" customFormat="1" ht="15.75">
      <c r="A23" s="29">
        <v>17</v>
      </c>
      <c r="B23" s="22" t="s">
        <v>12</v>
      </c>
      <c r="C23" s="37">
        <f>'ФО непосредств.затрат'!AA24</f>
        <v>290.2</v>
      </c>
      <c r="D23" s="36">
        <f>'ФО общехоз.затрат'!T24</f>
        <v>940.1</v>
      </c>
      <c r="E23" s="117">
        <v>2.3</v>
      </c>
      <c r="F23" s="36">
        <f t="shared" si="0"/>
        <v>1232.6</v>
      </c>
    </row>
    <row r="24" spans="1:6" s="24" customFormat="1" ht="15.75">
      <c r="A24" s="29">
        <v>18</v>
      </c>
      <c r="B24" s="22" t="s">
        <v>13</v>
      </c>
      <c r="C24" s="37">
        <f>'ФО непосредств.затрат'!AA25</f>
        <v>176</v>
      </c>
      <c r="D24" s="36">
        <f>'ФО общехоз.затрат'!T25</f>
        <v>799.7</v>
      </c>
      <c r="E24" s="117">
        <v>2.5</v>
      </c>
      <c r="F24" s="36">
        <f t="shared" si="0"/>
        <v>978.2</v>
      </c>
    </row>
    <row r="25" spans="1:6" s="24" customFormat="1" ht="15.75">
      <c r="A25" s="29">
        <v>19</v>
      </c>
      <c r="B25" s="22" t="s">
        <v>14</v>
      </c>
      <c r="C25" s="37">
        <f>'ФО непосредств.затрат'!AA26</f>
        <v>152.9</v>
      </c>
      <c r="D25" s="36">
        <f>'ФО общехоз.затрат'!T26</f>
        <v>790.7</v>
      </c>
      <c r="E25" s="117">
        <v>1.7</v>
      </c>
      <c r="F25" s="36">
        <f t="shared" si="0"/>
        <v>945.3000000000001</v>
      </c>
    </row>
    <row r="26" spans="1:6" s="26" customFormat="1" ht="16.5" customHeight="1">
      <c r="A26" s="29">
        <v>20</v>
      </c>
      <c r="B26" s="25" t="s">
        <v>15</v>
      </c>
      <c r="C26" s="37">
        <f>'ФО непосредств.затрат'!AA27</f>
        <v>205.6</v>
      </c>
      <c r="D26" s="36">
        <f>'ФО общехоз.затрат'!T27</f>
        <v>759.4</v>
      </c>
      <c r="E26" s="117">
        <v>1.1</v>
      </c>
      <c r="F26" s="36">
        <f t="shared" si="0"/>
        <v>966.1</v>
      </c>
    </row>
    <row r="27" spans="1:6" s="24" customFormat="1" ht="19.5" customHeight="1">
      <c r="A27" s="29">
        <v>21</v>
      </c>
      <c r="B27" s="22" t="s">
        <v>26</v>
      </c>
      <c r="C27" s="37">
        <f>'ФО непосредств.затрат'!AA28</f>
        <v>42.7</v>
      </c>
      <c r="D27" s="36">
        <f>'ФО общехоз.затрат'!T28</f>
        <v>662.8</v>
      </c>
      <c r="E27" s="117">
        <v>1.5</v>
      </c>
      <c r="F27" s="36">
        <f t="shared" si="0"/>
        <v>707</v>
      </c>
    </row>
    <row r="28" spans="1:6" s="24" customFormat="1" ht="19.5" customHeight="1">
      <c r="A28" s="29">
        <v>22</v>
      </c>
      <c r="B28" s="22" t="s">
        <v>27</v>
      </c>
      <c r="C28" s="37">
        <f>'ФО непосредств.затрат'!AA29</f>
        <v>37.699999999999996</v>
      </c>
      <c r="D28" s="36">
        <f>'ФО общехоз.затрат'!T29</f>
        <v>684.8</v>
      </c>
      <c r="E28" s="117">
        <v>1.3</v>
      </c>
      <c r="F28" s="36">
        <f t="shared" si="0"/>
        <v>723.8</v>
      </c>
    </row>
    <row r="29" spans="1:6" s="24" customFormat="1" ht="18" customHeight="1">
      <c r="A29" s="29">
        <v>23</v>
      </c>
      <c r="B29" s="22" t="s">
        <v>28</v>
      </c>
      <c r="C29" s="37">
        <f>'ФО непосредств.затрат'!AA30</f>
        <v>47.8</v>
      </c>
      <c r="D29" s="36">
        <f>'ФО общехоз.затрат'!T30</f>
        <v>677.1</v>
      </c>
      <c r="E29" s="117">
        <v>0.4</v>
      </c>
      <c r="F29" s="36">
        <f t="shared" si="0"/>
        <v>725.3</v>
      </c>
    </row>
    <row r="30" spans="1:6" s="24" customFormat="1" ht="18.75" customHeight="1">
      <c r="A30" s="29">
        <v>24</v>
      </c>
      <c r="B30" s="22" t="s">
        <v>29</v>
      </c>
      <c r="C30" s="37">
        <f>'ФО непосредств.затрат'!AA31</f>
        <v>75.4</v>
      </c>
      <c r="D30" s="36">
        <f>'ФО общехоз.затрат'!T31</f>
        <v>679.4000000000001</v>
      </c>
      <c r="E30" s="117">
        <v>0.5</v>
      </c>
      <c r="F30" s="36">
        <f t="shared" si="0"/>
        <v>755.3000000000001</v>
      </c>
    </row>
    <row r="31" spans="1:6" s="24" customFormat="1" ht="15.75">
      <c r="A31" s="29">
        <v>25</v>
      </c>
      <c r="B31" s="22" t="s">
        <v>16</v>
      </c>
      <c r="C31" s="37">
        <f>'ФО непосредств.затрат'!AA32</f>
        <v>371.90000000000003</v>
      </c>
      <c r="D31" s="36">
        <f>'ФО общехоз.затрат'!T32</f>
        <v>1035.2</v>
      </c>
      <c r="E31" s="117">
        <v>39.8</v>
      </c>
      <c r="F31" s="36">
        <f t="shared" si="0"/>
        <v>1446.9</v>
      </c>
    </row>
    <row r="32" spans="1:6" s="24" customFormat="1" ht="15.75">
      <c r="A32" s="29">
        <v>26</v>
      </c>
      <c r="B32" s="22" t="s">
        <v>17</v>
      </c>
      <c r="C32" s="37">
        <f>'ФО непосредств.затрат'!AA33</f>
        <v>323.5</v>
      </c>
      <c r="D32" s="36">
        <f>'ФО общехоз.затрат'!T33</f>
        <v>1018</v>
      </c>
      <c r="E32" s="117">
        <v>34</v>
      </c>
      <c r="F32" s="36">
        <f t="shared" si="0"/>
        <v>1375.5</v>
      </c>
    </row>
    <row r="33" spans="1:6" s="26" customFormat="1" ht="18" customHeight="1">
      <c r="A33" s="29">
        <v>27</v>
      </c>
      <c r="B33" s="25" t="s">
        <v>18</v>
      </c>
      <c r="C33" s="37">
        <f>'ФО непосредств.затрат'!AA34</f>
        <v>481.5</v>
      </c>
      <c r="D33" s="36">
        <f>'ФО общехоз.затрат'!T34</f>
        <v>1145.1</v>
      </c>
      <c r="E33" s="117">
        <v>59.3</v>
      </c>
      <c r="F33" s="36">
        <f t="shared" si="0"/>
        <v>1685.8999999999999</v>
      </c>
    </row>
    <row r="34" spans="1:6" s="24" customFormat="1" ht="15.75">
      <c r="A34" s="29">
        <v>28</v>
      </c>
      <c r="B34" s="22" t="s">
        <v>19</v>
      </c>
      <c r="C34" s="37">
        <f>'ФО непосредств.затрат'!AA35</f>
        <v>351.70000000000005</v>
      </c>
      <c r="D34" s="36">
        <f>'ФО общехоз.затрат'!T35</f>
        <v>1055.8</v>
      </c>
      <c r="E34" s="117">
        <v>42.9</v>
      </c>
      <c r="F34" s="36">
        <f t="shared" si="0"/>
        <v>1450.4</v>
      </c>
    </row>
    <row r="35" spans="1:6" s="24" customFormat="1" ht="15.75">
      <c r="A35" s="29">
        <v>29</v>
      </c>
      <c r="B35" s="22" t="s">
        <v>20</v>
      </c>
      <c r="C35" s="37">
        <f>'ФО непосредств.затрат'!AA36</f>
        <v>413.29999999999995</v>
      </c>
      <c r="D35" s="36">
        <f>'ФО общехоз.затрат'!T36</f>
        <v>1244.1000000000001</v>
      </c>
      <c r="E35" s="117">
        <v>5.2</v>
      </c>
      <c r="F35" s="36">
        <f t="shared" si="0"/>
        <v>1662.6000000000001</v>
      </c>
    </row>
    <row r="36" spans="1:6" s="24" customFormat="1" ht="15.75">
      <c r="A36" s="29">
        <v>30</v>
      </c>
      <c r="B36" s="22" t="s">
        <v>30</v>
      </c>
      <c r="C36" s="37">
        <f>'ФО непосредств.затрат'!AA37</f>
        <v>67.6</v>
      </c>
      <c r="D36" s="36">
        <f>'ФО общехоз.затрат'!T37</f>
        <v>692.5</v>
      </c>
      <c r="E36" s="117">
        <v>0.6</v>
      </c>
      <c r="F36" s="36">
        <f t="shared" si="0"/>
        <v>760.7</v>
      </c>
    </row>
    <row r="37" spans="1:6" s="24" customFormat="1" ht="15.75">
      <c r="A37" s="29">
        <v>31</v>
      </c>
      <c r="B37" s="22" t="s">
        <v>31</v>
      </c>
      <c r="C37" s="37">
        <f>'ФО непосредств.затрат'!AA38</f>
        <v>100.5</v>
      </c>
      <c r="D37" s="36">
        <f>'ФО общехоз.затрат'!T38</f>
        <v>520.9</v>
      </c>
      <c r="E37" s="117">
        <v>1.6</v>
      </c>
      <c r="F37" s="36">
        <f t="shared" si="0"/>
        <v>623</v>
      </c>
    </row>
    <row r="38" spans="1:6" s="24" customFormat="1" ht="15.75">
      <c r="A38" s="29">
        <v>32</v>
      </c>
      <c r="B38" s="22" t="s">
        <v>21</v>
      </c>
      <c r="C38" s="37">
        <f>'ФО непосредств.затрат'!AA39</f>
        <v>148</v>
      </c>
      <c r="D38" s="36">
        <f>'ФО общехоз.затрат'!T39</f>
        <v>591.6</v>
      </c>
      <c r="E38" s="117">
        <v>2.7</v>
      </c>
      <c r="F38" s="36">
        <f t="shared" si="0"/>
        <v>742.3000000000001</v>
      </c>
    </row>
    <row r="39" spans="1:6" s="24" customFormat="1" ht="15.75">
      <c r="A39" s="29">
        <v>33</v>
      </c>
      <c r="B39" s="22" t="s">
        <v>32</v>
      </c>
      <c r="C39" s="37">
        <f>'ФО непосредств.затрат'!AA40</f>
        <v>50.3</v>
      </c>
      <c r="D39" s="36">
        <f>'ФО общехоз.затрат'!T40</f>
        <v>674.6</v>
      </c>
      <c r="E39" s="117">
        <v>2.4</v>
      </c>
      <c r="F39" s="36">
        <f t="shared" si="0"/>
        <v>727.3</v>
      </c>
    </row>
    <row r="40" spans="1:6" s="24" customFormat="1" ht="17.25" customHeight="1">
      <c r="A40" s="29">
        <v>34</v>
      </c>
      <c r="B40" s="22" t="s">
        <v>33</v>
      </c>
      <c r="C40" s="37">
        <f>'ФО непосредств.затрат'!AA41</f>
        <v>139.10000000000002</v>
      </c>
      <c r="D40" s="36">
        <f>'ФО общехоз.затрат'!T41</f>
        <v>832.4</v>
      </c>
      <c r="E40" s="117">
        <v>0.9</v>
      </c>
      <c r="F40" s="36">
        <f t="shared" si="0"/>
        <v>972.4</v>
      </c>
    </row>
    <row r="41" spans="1:6" s="24" customFormat="1" ht="15.75">
      <c r="A41" s="29">
        <v>35</v>
      </c>
      <c r="B41" s="22" t="s">
        <v>34</v>
      </c>
      <c r="C41" s="37">
        <f>'ФО непосредств.затрат'!AA42</f>
        <v>116.2</v>
      </c>
      <c r="D41" s="36">
        <f>'ФО общехоз.затрат'!T42</f>
        <v>158</v>
      </c>
      <c r="E41" s="117">
        <v>15</v>
      </c>
      <c r="F41" s="36">
        <f t="shared" si="0"/>
        <v>289.2</v>
      </c>
    </row>
    <row r="42" spans="1:6" s="24" customFormat="1" ht="15.75">
      <c r="A42" s="29">
        <v>36</v>
      </c>
      <c r="B42" s="22" t="s">
        <v>35</v>
      </c>
      <c r="C42" s="37">
        <f>'ФО непосредств.затрат'!AA43</f>
        <v>122.5</v>
      </c>
      <c r="D42" s="36">
        <f>'ФО общехоз.затрат'!T43</f>
        <v>739.1</v>
      </c>
      <c r="E42" s="117">
        <v>2.2</v>
      </c>
      <c r="F42" s="36">
        <f t="shared" si="0"/>
        <v>863.8000000000001</v>
      </c>
    </row>
    <row r="43" spans="1:6" s="26" customFormat="1" ht="16.5" customHeight="1">
      <c r="A43" s="29">
        <v>37</v>
      </c>
      <c r="B43" s="25" t="s">
        <v>36</v>
      </c>
      <c r="C43" s="37">
        <f>'ФО непосредств.затрат'!AA44</f>
        <v>58</v>
      </c>
      <c r="D43" s="36">
        <f>'ФО общехоз.затрат'!T44</f>
        <v>431.3</v>
      </c>
      <c r="E43" s="117">
        <v>4.8</v>
      </c>
      <c r="F43" s="36">
        <f t="shared" si="0"/>
        <v>494.1</v>
      </c>
    </row>
    <row r="44" spans="1:6" s="26" customFormat="1" ht="15" customHeight="1">
      <c r="A44" s="29">
        <v>38</v>
      </c>
      <c r="B44" s="25" t="s">
        <v>37</v>
      </c>
      <c r="C44" s="37">
        <f>'ФО непосредств.затрат'!AA45</f>
        <v>118.2</v>
      </c>
      <c r="D44" s="36">
        <f>'ФО общехоз.затрат'!T45</f>
        <v>724.9</v>
      </c>
      <c r="E44" s="117">
        <v>1.1</v>
      </c>
      <c r="F44" s="36">
        <f t="shared" si="0"/>
        <v>844.2</v>
      </c>
    </row>
    <row r="45" spans="1:6" s="24" customFormat="1" ht="15.75" customHeight="1">
      <c r="A45" s="29">
        <v>39</v>
      </c>
      <c r="B45" s="22" t="s">
        <v>38</v>
      </c>
      <c r="C45" s="37">
        <f>'ФО непосредств.затрат'!AA46</f>
        <v>201.2</v>
      </c>
      <c r="D45" s="36">
        <f>'ФО общехоз.затрат'!T46</f>
        <v>929.3000000000001</v>
      </c>
      <c r="E45" s="117">
        <v>24.1</v>
      </c>
      <c r="F45" s="36">
        <f t="shared" si="0"/>
        <v>1154.6</v>
      </c>
    </row>
    <row r="46" spans="1:6" s="24" customFormat="1" ht="15.75">
      <c r="A46" s="29">
        <v>40</v>
      </c>
      <c r="B46" s="22" t="s">
        <v>39</v>
      </c>
      <c r="C46" s="37">
        <f>'ФО непосредств.затрат'!AA47</f>
        <v>47.8</v>
      </c>
      <c r="D46" s="36">
        <f>'ФО общехоз.затрат'!T47</f>
        <v>650.7</v>
      </c>
      <c r="E46" s="117">
        <v>0.4</v>
      </c>
      <c r="F46" s="36">
        <f t="shared" si="0"/>
        <v>698.9</v>
      </c>
    </row>
    <row r="47" spans="1:6" s="24" customFormat="1" ht="15.75">
      <c r="A47" s="29">
        <v>41</v>
      </c>
      <c r="B47" s="22" t="s">
        <v>22</v>
      </c>
      <c r="C47" s="37">
        <f>'ФО непосредств.затрат'!AA48</f>
        <v>172.1</v>
      </c>
      <c r="D47" s="36">
        <f>'ФО общехоз.затрат'!T48</f>
        <v>721.6</v>
      </c>
      <c r="E47" s="117">
        <v>3.1</v>
      </c>
      <c r="F47" s="36">
        <f t="shared" si="0"/>
        <v>896.8000000000001</v>
      </c>
    </row>
    <row r="48" spans="1:6" s="24" customFormat="1" ht="15.75">
      <c r="A48" s="29">
        <v>42</v>
      </c>
      <c r="B48" s="22" t="s">
        <v>40</v>
      </c>
      <c r="C48" s="37">
        <f>'ФО непосредств.затрат'!AA49</f>
        <v>93</v>
      </c>
      <c r="D48" s="36">
        <f>'ФО общехоз.затрат'!T49</f>
        <v>709.9</v>
      </c>
      <c r="E48" s="117">
        <v>0.9</v>
      </c>
      <c r="F48" s="36">
        <f t="shared" si="0"/>
        <v>803.8</v>
      </c>
    </row>
    <row r="49" spans="1:6" s="24" customFormat="1" ht="15.75">
      <c r="A49" s="29">
        <v>43</v>
      </c>
      <c r="B49" s="22" t="s">
        <v>41</v>
      </c>
      <c r="C49" s="37">
        <f>'ФО непосредств.затрат'!AA50</f>
        <v>41</v>
      </c>
      <c r="D49" s="36">
        <f>'ФО общехоз.затрат'!T50</f>
        <v>642.5</v>
      </c>
      <c r="E49" s="117">
        <v>2.3</v>
      </c>
      <c r="F49" s="36">
        <f t="shared" si="0"/>
        <v>685.8</v>
      </c>
    </row>
    <row r="50" spans="1:6" s="24" customFormat="1" ht="15.75">
      <c r="A50" s="29">
        <v>44</v>
      </c>
      <c r="B50" s="22" t="s">
        <v>42</v>
      </c>
      <c r="C50" s="37">
        <f>'ФО непосредств.затрат'!AA51</f>
        <v>65.19999999999999</v>
      </c>
      <c r="D50" s="36">
        <f>'ФО общехоз.затрат'!T51</f>
        <v>607.8</v>
      </c>
      <c r="E50" s="117">
        <v>6.3</v>
      </c>
      <c r="F50" s="36">
        <f t="shared" si="0"/>
        <v>679.3</v>
      </c>
    </row>
    <row r="51" spans="1:6" s="24" customFormat="1" ht="15.75">
      <c r="A51" s="29">
        <v>45</v>
      </c>
      <c r="B51" s="22" t="s">
        <v>23</v>
      </c>
      <c r="C51" s="37">
        <f>'ФО непосредств.затрат'!AA52</f>
        <v>74.80000000000001</v>
      </c>
      <c r="D51" s="36">
        <f>'ФО общехоз.затрат'!T52</f>
        <v>485.3</v>
      </c>
      <c r="E51" s="117">
        <v>90.9</v>
      </c>
      <c r="F51" s="36">
        <f t="shared" si="0"/>
        <v>651</v>
      </c>
    </row>
    <row r="52" spans="1:6" s="24" customFormat="1" ht="15.75">
      <c r="A52" s="29">
        <v>46</v>
      </c>
      <c r="B52" s="22" t="s">
        <v>43</v>
      </c>
      <c r="C52" s="37">
        <f>'ФО непосредств.затрат'!AA53</f>
        <v>75.4</v>
      </c>
      <c r="D52" s="36">
        <f>'ФО общехоз.затрат'!T53</f>
        <v>488.8</v>
      </c>
      <c r="E52" s="117">
        <v>0.9</v>
      </c>
      <c r="F52" s="36">
        <f t="shared" si="0"/>
        <v>565.1</v>
      </c>
    </row>
    <row r="53" spans="1:6" s="24" customFormat="1" ht="34.5" customHeight="1">
      <c r="A53" s="29">
        <v>47</v>
      </c>
      <c r="B53" s="25" t="s">
        <v>44</v>
      </c>
      <c r="C53" s="37">
        <f>'ФО непосредств.затрат'!AA54</f>
        <v>52.7</v>
      </c>
      <c r="D53" s="36">
        <f>'ФО общехоз.затрат'!T54</f>
        <v>307.2</v>
      </c>
      <c r="E53" s="117">
        <v>0</v>
      </c>
      <c r="F53" s="36">
        <f t="shared" si="0"/>
        <v>359.9</v>
      </c>
    </row>
    <row r="54" spans="1:6" s="26" customFormat="1" ht="31.5">
      <c r="A54" s="29">
        <v>48</v>
      </c>
      <c r="B54" s="25" t="s">
        <v>45</v>
      </c>
      <c r="C54" s="37">
        <f>'ФО непосредств.затрат'!AA55</f>
        <v>50.3</v>
      </c>
      <c r="D54" s="36">
        <f>'ФО общехоз.затрат'!T55</f>
        <v>432.5</v>
      </c>
      <c r="E54" s="117">
        <v>4</v>
      </c>
      <c r="F54" s="36">
        <f t="shared" si="0"/>
        <v>486.8</v>
      </c>
    </row>
    <row r="55" spans="1:6" s="35" customFormat="1" ht="27" customHeight="1">
      <c r="A55" s="140"/>
      <c r="B55" s="141" t="s">
        <v>73</v>
      </c>
      <c r="C55" s="272">
        <f>SUM(C7:C54)</f>
        <v>18969.899999999998</v>
      </c>
      <c r="D55" s="272">
        <f>SUM(D7:D54)</f>
        <v>53806.900000000016</v>
      </c>
      <c r="E55" s="272">
        <f>SUM(E7:E54)</f>
        <v>5360.3</v>
      </c>
      <c r="F55" s="272">
        <f>SUM(F7:F54)</f>
        <v>78137.10000000002</v>
      </c>
    </row>
    <row r="56" spans="1:3" s="84" customFormat="1" ht="15.75">
      <c r="A56" s="75"/>
      <c r="B56" s="76"/>
      <c r="C56" s="105"/>
    </row>
    <row r="57" spans="1:3" s="84" customFormat="1" ht="15.75">
      <c r="A57" s="75"/>
      <c r="B57" s="76"/>
      <c r="C57" s="105"/>
    </row>
    <row r="58" spans="1:3" s="92" customFormat="1" ht="15.75">
      <c r="A58" s="86"/>
      <c r="B58" s="87"/>
      <c r="C58" s="89"/>
    </row>
    <row r="59" spans="1:3" ht="18" customHeight="1">
      <c r="A59" s="18"/>
      <c r="B59" s="19"/>
      <c r="C59" s="20"/>
    </row>
    <row r="60" spans="1:3" ht="15.75">
      <c r="A60" s="3"/>
      <c r="B60" s="4"/>
      <c r="C60" s="16"/>
    </row>
    <row r="61" spans="1:3" ht="15.75">
      <c r="A61" s="3"/>
      <c r="B61" s="4"/>
      <c r="C61" s="17"/>
    </row>
    <row r="62" spans="1:3" ht="15.75">
      <c r="A62" s="3"/>
      <c r="B62" s="4"/>
      <c r="C62" s="17"/>
    </row>
    <row r="63" spans="1:3" ht="15.75">
      <c r="A63" s="3"/>
      <c r="B63" s="4"/>
      <c r="C63" s="17"/>
    </row>
    <row r="64" spans="1:3" ht="15.75">
      <c r="A64" s="3"/>
      <c r="B64" s="6"/>
      <c r="C64" s="6"/>
    </row>
    <row r="65" spans="1:3" ht="15.75">
      <c r="A65" s="3"/>
      <c r="B65" s="6"/>
      <c r="C65" s="6"/>
    </row>
    <row r="66" spans="1:3" ht="16.5" customHeight="1">
      <c r="A66" s="3"/>
      <c r="B66" s="4"/>
      <c r="C66" s="4"/>
    </row>
    <row r="67" spans="1:3" ht="15.75">
      <c r="A67" s="3"/>
      <c r="B67" s="4"/>
      <c r="C67" s="4"/>
    </row>
    <row r="68" spans="1:3" ht="15.75">
      <c r="A68" s="3"/>
      <c r="B68" s="4"/>
      <c r="C68" s="4"/>
    </row>
    <row r="69" spans="1:3" ht="15.75">
      <c r="A69" s="3"/>
      <c r="B69" s="4"/>
      <c r="C69" s="4"/>
    </row>
    <row r="70" spans="1:3" ht="15.75">
      <c r="A70" s="3"/>
      <c r="B70" s="4"/>
      <c r="C70" s="4"/>
    </row>
    <row r="71" spans="1:3" ht="15.75">
      <c r="A71" s="3"/>
      <c r="B71" s="4"/>
      <c r="C71" s="4"/>
    </row>
    <row r="72" spans="1:3" ht="15.75">
      <c r="A72" s="3"/>
      <c r="B72" s="7"/>
      <c r="C72" s="7"/>
    </row>
    <row r="73" spans="1:3" s="9" customFormat="1" ht="16.5" customHeight="1">
      <c r="A73" s="127"/>
      <c r="B73" s="127"/>
      <c r="C73" s="127"/>
    </row>
    <row r="74" spans="1:3" ht="15.75">
      <c r="A74" s="3"/>
      <c r="B74" s="6"/>
      <c r="C74" s="6"/>
    </row>
    <row r="75" spans="1:3" ht="15.75">
      <c r="A75" s="3"/>
      <c r="B75" s="6"/>
      <c r="C75" s="6"/>
    </row>
    <row r="76" spans="1:3" ht="15.75">
      <c r="A76" s="3"/>
      <c r="B76" s="6"/>
      <c r="C76" s="6"/>
    </row>
    <row r="77" spans="1:3" ht="15.75">
      <c r="A77" s="3"/>
      <c r="B77" s="6"/>
      <c r="C77" s="6"/>
    </row>
    <row r="78" spans="1:3" ht="18" customHeight="1">
      <c r="A78" s="3"/>
      <c r="B78" s="6"/>
      <c r="C78" s="6"/>
    </row>
    <row r="79" spans="1:3" ht="15.75">
      <c r="A79" s="3"/>
      <c r="B79" s="6"/>
      <c r="C79" s="6"/>
    </row>
    <row r="80" spans="1:3" ht="15.75">
      <c r="A80" s="3"/>
      <c r="B80" s="6"/>
      <c r="C80" s="6"/>
    </row>
    <row r="81" spans="1:3" ht="15.75">
      <c r="A81" s="3"/>
      <c r="B81" s="6"/>
      <c r="C81" s="6"/>
    </row>
    <row r="82" spans="1:3" ht="15.75">
      <c r="A82" s="3"/>
      <c r="B82" s="6"/>
      <c r="C82" s="6"/>
    </row>
    <row r="83" spans="1:3" ht="15.75">
      <c r="A83" s="3"/>
      <c r="B83" s="6"/>
      <c r="C83" s="6"/>
    </row>
    <row r="84" spans="1:3" ht="15.75">
      <c r="A84" s="3"/>
      <c r="B84" s="4"/>
      <c r="C84" s="4"/>
    </row>
    <row r="85" spans="1:3" ht="15.75">
      <c r="A85" s="3"/>
      <c r="B85" s="4"/>
      <c r="C85" s="4"/>
    </row>
    <row r="86" spans="1:3" ht="15.75">
      <c r="A86" s="3"/>
      <c r="B86" s="4"/>
      <c r="C86" s="4"/>
    </row>
    <row r="87" spans="1:3" ht="15.75">
      <c r="A87" s="3"/>
      <c r="B87" s="4"/>
      <c r="C87" s="4"/>
    </row>
    <row r="88" spans="1:3" ht="15.75">
      <c r="A88" s="3"/>
      <c r="B88" s="4"/>
      <c r="C88" s="4"/>
    </row>
    <row r="89" spans="1:3" ht="15.75">
      <c r="A89" s="3"/>
      <c r="B89" s="4"/>
      <c r="C89" s="4"/>
    </row>
    <row r="90" spans="1:3" ht="15.75">
      <c r="A90" s="3"/>
      <c r="B90" s="4"/>
      <c r="C90" s="4"/>
    </row>
    <row r="91" spans="1:3" ht="15.75">
      <c r="A91" s="3"/>
      <c r="B91" s="4"/>
      <c r="C91" s="4"/>
    </row>
    <row r="92" spans="1:3" ht="15.75">
      <c r="A92" s="3"/>
      <c r="B92" s="4"/>
      <c r="C92" s="4"/>
    </row>
    <row r="93" spans="1:3" ht="15.75">
      <c r="A93" s="3"/>
      <c r="B93" s="4"/>
      <c r="C93" s="4"/>
    </row>
    <row r="94" spans="1:3" ht="15.75">
      <c r="A94" s="3"/>
      <c r="B94" s="4"/>
      <c r="C94" s="4"/>
    </row>
    <row r="95" spans="1:3" ht="15.75">
      <c r="A95" s="3"/>
      <c r="B95" s="4"/>
      <c r="C95" s="4"/>
    </row>
    <row r="96" spans="1:3" ht="15.75">
      <c r="A96" s="3"/>
      <c r="B96" s="4"/>
      <c r="C96" s="4"/>
    </row>
    <row r="97" spans="1:3" ht="15.75">
      <c r="A97" s="3"/>
      <c r="B97" s="4"/>
      <c r="C97" s="4"/>
    </row>
    <row r="98" spans="1:3" ht="15.75">
      <c r="A98" s="3"/>
      <c r="B98" s="4"/>
      <c r="C98" s="4"/>
    </row>
    <row r="99" spans="1:3" ht="15.75">
      <c r="A99" s="3"/>
      <c r="B99" s="4"/>
      <c r="C99" s="4"/>
    </row>
    <row r="100" spans="1:3" ht="15.75">
      <c r="A100" s="3"/>
      <c r="B100" s="4"/>
      <c r="C100" s="4"/>
    </row>
    <row r="101" spans="1:3" ht="15.75">
      <c r="A101" s="3"/>
      <c r="B101" s="4"/>
      <c r="C101" s="4"/>
    </row>
    <row r="102" spans="1:3" ht="15.75">
      <c r="A102" s="3"/>
      <c r="B102" s="4"/>
      <c r="C102" s="4"/>
    </row>
    <row r="103" spans="1:3" ht="15.75">
      <c r="A103" s="3"/>
      <c r="B103" s="4"/>
      <c r="C103" s="4"/>
    </row>
    <row r="104" spans="1:3" ht="15.75">
      <c r="A104" s="3"/>
      <c r="B104" s="4"/>
      <c r="C104" s="4"/>
    </row>
    <row r="105" spans="1:3" ht="15.75">
      <c r="A105" s="3"/>
      <c r="B105" s="4"/>
      <c r="C105" s="4"/>
    </row>
    <row r="106" spans="1:3" ht="15.75">
      <c r="A106" s="3"/>
      <c r="B106" s="4"/>
      <c r="C106" s="4"/>
    </row>
    <row r="107" spans="1:3" ht="15.75">
      <c r="A107" s="3"/>
      <c r="B107" s="4"/>
      <c r="C107" s="4"/>
    </row>
    <row r="108" spans="1:3" ht="15.75">
      <c r="A108" s="3"/>
      <c r="B108" s="4"/>
      <c r="C108" s="4"/>
    </row>
    <row r="109" spans="1:3" ht="15.75">
      <c r="A109" s="3"/>
      <c r="B109" s="4"/>
      <c r="C109" s="4"/>
    </row>
    <row r="110" spans="1:3" ht="15.75">
      <c r="A110" s="3"/>
      <c r="B110" s="4"/>
      <c r="C110" s="4"/>
    </row>
    <row r="111" spans="1:3" ht="15.75">
      <c r="A111" s="3"/>
      <c r="B111" s="4"/>
      <c r="C111" s="4"/>
    </row>
    <row r="112" spans="1:3" ht="15.75">
      <c r="A112" s="3"/>
      <c r="B112" s="4"/>
      <c r="C112" s="4"/>
    </row>
    <row r="113" spans="1:3" ht="15.75">
      <c r="A113" s="3"/>
      <c r="B113" s="4"/>
      <c r="C113" s="4"/>
    </row>
    <row r="114" spans="1:3" ht="15.75">
      <c r="A114" s="3"/>
      <c r="B114" s="4"/>
      <c r="C114" s="4"/>
    </row>
    <row r="115" spans="1:3" ht="15.75">
      <c r="A115" s="3"/>
      <c r="B115" s="4"/>
      <c r="C115" s="4"/>
    </row>
    <row r="116" spans="1:3" ht="15.75">
      <c r="A116" s="3"/>
      <c r="B116" s="4"/>
      <c r="C116" s="4"/>
    </row>
    <row r="117" spans="1:3" ht="15.75">
      <c r="A117" s="3"/>
      <c r="B117" s="4"/>
      <c r="C117" s="4"/>
    </row>
    <row r="118" spans="1:3" ht="15.75">
      <c r="A118" s="10"/>
      <c r="B118" s="11"/>
      <c r="C118" s="11"/>
    </row>
    <row r="119" spans="1:3" ht="15.75">
      <c r="A119" s="11"/>
      <c r="B119" s="11"/>
      <c r="C119" s="11"/>
    </row>
    <row r="120" spans="1:3" ht="15.75">
      <c r="A120" s="10"/>
      <c r="B120" s="10"/>
      <c r="C120" s="10"/>
    </row>
  </sheetData>
  <sheetProtection/>
  <mergeCells count="7">
    <mergeCell ref="C2:F2"/>
    <mergeCell ref="A73:C73"/>
    <mergeCell ref="A3:A5"/>
    <mergeCell ref="B3:B5"/>
    <mergeCell ref="E1:F1"/>
    <mergeCell ref="C3:F3"/>
    <mergeCell ref="C4:F4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2019-04-24T12:43:15Z</cp:lastPrinted>
  <dcterms:created xsi:type="dcterms:W3CDTF">2005-01-25T12:19:56Z</dcterms:created>
  <dcterms:modified xsi:type="dcterms:W3CDTF">2019-04-24T12:44:09Z</dcterms:modified>
  <cp:category/>
  <cp:version/>
  <cp:contentType/>
  <cp:contentStatus/>
</cp:coreProperties>
</file>