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55" windowWidth="12120" windowHeight="7815" activeTab="3"/>
  </bookViews>
  <sheets>
    <sheet name="МЗ-корректировка" sheetId="1" r:id="rId1"/>
    <sheet name="Для корректировки" sheetId="2" r:id="rId2"/>
    <sheet name="Корректировка" sheetId="3" r:id="rId3"/>
    <sheet name="Общехозяйст." sheetId="4" r:id="rId4"/>
  </sheets>
  <definedNames>
    <definedName name="_xlnm.Print_Titles" localSheetId="1">'Для корректировки'!$A:$A,'Для корректировки'!$3:$5</definedName>
    <definedName name="_xlnm.Print_Titles" localSheetId="2">'Корректировка'!$A:$A,'Корректировка'!$3:$4</definedName>
    <definedName name="_xlnm.Print_Titles" localSheetId="0">'МЗ-корректировка'!$A:$A,'МЗ-корректировка'!$3:$5</definedName>
    <definedName name="_xlnm.Print_Titles" localSheetId="3">'Общехозяйст.'!$A:$A,'Общехозяйст.'!$3:$5</definedName>
    <definedName name="_xlnm.Print_Area" localSheetId="1">'Для корректировки'!$A$1:$P$51</definedName>
    <definedName name="_xlnm.Print_Area" localSheetId="2">'Корректировка'!$A$1:$G$50</definedName>
    <definedName name="_xlnm.Print_Area" localSheetId="0">'МЗ-корректировка'!$A$1:$P$51</definedName>
    <definedName name="_xlnm.Print_Area" localSheetId="3">'Общехозяйст.'!$A$1:$N$53</definedName>
  </definedNames>
  <calcPr fullCalcOnLoad="1"/>
</workbook>
</file>

<file path=xl/sharedStrings.xml><?xml version="1.0" encoding="utf-8"?>
<sst xmlns="http://schemas.openxmlformats.org/spreadsheetml/2006/main" count="285" uniqueCount="93">
  <si>
    <t>реализация основных общеобразовательных программ дошкольного образования</t>
  </si>
  <si>
    <t>МБДОУ ДС №1</t>
  </si>
  <si>
    <t>МБДОУ ДС №3</t>
  </si>
  <si>
    <t>МБДОУ ДС №6</t>
  </si>
  <si>
    <t>МБДОУ ДС №7</t>
  </si>
  <si>
    <t>МБДОУ ДС №8</t>
  </si>
  <si>
    <t>МБДОУ ДС №41</t>
  </si>
  <si>
    <t>МБДОУ ДС №42</t>
  </si>
  <si>
    <t>МБДОУ ДС №43</t>
  </si>
  <si>
    <t>МБДОУ ДС №46</t>
  </si>
  <si>
    <t>МБДОУ ДС №56</t>
  </si>
  <si>
    <t>МБДОУ ДС "Теремок"</t>
  </si>
  <si>
    <t>МБДОУ ДС №17</t>
  </si>
  <si>
    <t>МБДОУ ДС №19</t>
  </si>
  <si>
    <t>МБДОУ ДС №23</t>
  </si>
  <si>
    <t>МБДОУ ДС №25</t>
  </si>
  <si>
    <t>МБДОУ ДС №35</t>
  </si>
  <si>
    <t>МБДОУ ДС №36</t>
  </si>
  <si>
    <t>МБДОУ ДС №40</t>
  </si>
  <si>
    <t>МБДОУ ДС №45</t>
  </si>
  <si>
    <t>МБДОУ ДС №52</t>
  </si>
  <si>
    <t>МБДОУ ДС №59</t>
  </si>
  <si>
    <t>МБДОУ ДС №78</t>
  </si>
  <si>
    <t>МБДОУ ДС №87</t>
  </si>
  <si>
    <t>МБДОУ ДС №16</t>
  </si>
  <si>
    <t>МБДОУ ДС №15</t>
  </si>
  <si>
    <t>МБДОУ ДС №29</t>
  </si>
  <si>
    <t>МБДОУ ДС №32</t>
  </si>
  <si>
    <t>МБДОУ ДС №33</t>
  </si>
  <si>
    <t>МБДОУ ДС №34</t>
  </si>
  <si>
    <t>МБДОУ ДС №57</t>
  </si>
  <si>
    <t>МБДОУ ДС №58</t>
  </si>
  <si>
    <t>МБДОУ ДС №64</t>
  </si>
  <si>
    <t>МБДОУ ДС №66</t>
  </si>
  <si>
    <t>МБДОУ ДС №67</t>
  </si>
  <si>
    <t>МБДОУ ДС №70</t>
  </si>
  <si>
    <t>МБДОУ ДС №71</t>
  </si>
  <si>
    <t>МБДОУ ДС №72</t>
  </si>
  <si>
    <t>МБДОУ ДС №73</t>
  </si>
  <si>
    <t>МБДОУ ДС №75</t>
  </si>
  <si>
    <t>МБДОУ ДС №80</t>
  </si>
  <si>
    <t>МБДОУ ДС №82</t>
  </si>
  <si>
    <t>МБДОУ ДС №83</t>
  </si>
  <si>
    <t>МБДОУ ДС №106</t>
  </si>
  <si>
    <t>МБДОУ Погореловский ДС "Казачок"</t>
  </si>
  <si>
    <t>МБДОУ Какичевский ДС "Вишенка"</t>
  </si>
  <si>
    <t>обучающиеся от 3 лет до 8 лет, за исключением обучающихся с ОВЗ и детей-инвалидов</t>
  </si>
  <si>
    <t>обучающиеся от 1 года 3 лет, за исключением обучающихся с ОВЗ и детей-инвалидов</t>
  </si>
  <si>
    <t>реализация адаптированных образовательных программ дошкольного образования</t>
  </si>
  <si>
    <t>обучающиеся от 3 лет до 8 лет с ОВЗ</t>
  </si>
  <si>
    <t>Режим работы, час</t>
  </si>
  <si>
    <t>Наименование образовательной организации</t>
  </si>
  <si>
    <t>Итого дошкольные образовательные организации</t>
  </si>
  <si>
    <t>Наименование и объем услуги</t>
  </si>
  <si>
    <t>Потребители муниципальной услуги</t>
  </si>
  <si>
    <t>обучающиеся от 1 года 3 лет, за исключением обучающихся с ОВЗ и детей-инвалидов, чел.</t>
  </si>
  <si>
    <t>обучающиеся от 3 лет до 8 лет, за исключением обучающихся с ОВЗ и детей-инвалидов, чел.</t>
  </si>
  <si>
    <t>обучающиеся от 3 лет до 8 лет с ОВЗ, чел.</t>
  </si>
  <si>
    <t>Нормативы затрат на оказание муниципальных услуг  в части затрат на оплату труда,    руб.</t>
  </si>
  <si>
    <t>Отраслевые  корректирующие коэффициенты затрат, непосредственно связанных с оказанием муниципальных услуг, учитывающие фактическую наполняемость групп</t>
  </si>
  <si>
    <t>Всего в расчете на год, тыс. руб.</t>
  </si>
  <si>
    <t>Коэффициенты выравнивания на доведение объема финансового обеспечения выполнения муниципального задания до уровня финансового обеспечения в предалах бюджетных ассигнованиий, предусмотренных Отделу образования</t>
  </si>
  <si>
    <t>В бюджет</t>
  </si>
  <si>
    <t>ст.211</t>
  </si>
  <si>
    <t>ст.213</t>
  </si>
  <si>
    <t>Финансовое обеспечение  муниципальных услуг  в части затрат на оплату труда,    тыс. руб.</t>
  </si>
  <si>
    <t>№п/п</t>
  </si>
  <si>
    <t>Наименование и объём  услуги</t>
  </si>
  <si>
    <t xml:space="preserve"> расходы на общехозяйственные нужды на одного ребенка , руб./год</t>
  </si>
  <si>
    <t>потребители услуги</t>
  </si>
  <si>
    <t>базовый норматив затрат на общехозяйственные нужды на одного ребенка , руб./год</t>
  </si>
  <si>
    <t>отраслевой корректирующий  коэффициент затрат на общехозяйственные нужды, учитывающий режим работы учреждения (12 часов; 9-10 часов) и виды благоустройства</t>
  </si>
  <si>
    <t>полное финансовое обеспечение за счет затрат на общехозяйственные нужды-бюджет, тыс. руб.</t>
  </si>
  <si>
    <t>ст.211+ст.213, тыс. руб в бюджете</t>
  </si>
  <si>
    <t>Отклонение, тыс. руб.</t>
  </si>
  <si>
    <t>Всего субвенция в бюджете, тыс. руб.</t>
  </si>
  <si>
    <t>Всего МЗ в бюджете, тыс. руб.</t>
  </si>
  <si>
    <t>Всего субвенция, тыс. руб.</t>
  </si>
  <si>
    <t>Отклонение МЗ, тыс. руб.</t>
  </si>
  <si>
    <t>Д.б.-МЗ, тыс. руб.</t>
  </si>
  <si>
    <t>Всего  в расчете на год, тыс. руб.</t>
  </si>
  <si>
    <t>Приложените №22</t>
  </si>
  <si>
    <t>Нормативы затрат на оказание муниципальных услуг  в части затрат на материальные и иные  затраты,    руб.</t>
  </si>
  <si>
    <t>Финансовое обеспечение  муниципальных услуг  в части затрат на материальные и иные затраты,    тыс. руб.</t>
  </si>
  <si>
    <t>Приложение №23</t>
  </si>
  <si>
    <t>финансовое обеспечение за счет общехозяйственных затрат обучающихся от 1 года до 3 лет за исключением обучающихся с ОВЗ и детей-инвалидов, тыс. руб.</t>
  </si>
  <si>
    <t>финансовое обеспечение за счет общехозяйственных затрат обучающихся от 3 лет до 8 лет за исключением обучающихся с ОВЗ и детей-инвалидов, тыс. руб.</t>
  </si>
  <si>
    <t>финансовое обеспечение за счет общехозяйственных затрат обучающихся от 3 лет до 8 лет с ОВЗ, тыс. руб.</t>
  </si>
  <si>
    <t>Приложение №24</t>
  </si>
  <si>
    <t>Финансовое обеспечение  муниципальных услуг  в части  общехозяйственных  затрат,    тыс. руб.</t>
  </si>
  <si>
    <t>Финансовое обеспечение, тыс. руб.</t>
  </si>
  <si>
    <t>Приложение №25</t>
  </si>
  <si>
    <t>Налоги, тыс. руб.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</si>
</sst>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1"/>
      <name val="Times New Roman Cyr"/>
      <family val="0"/>
    </font>
    <font>
      <sz val="11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177" fontId="5" fillId="33" borderId="0" xfId="54" applyNumberFormat="1" applyFont="1" applyFill="1" applyAlignment="1">
      <alignment horizontal="center" vertical="center"/>
      <protection/>
    </xf>
    <xf numFmtId="177" fontId="5" fillId="33" borderId="0" xfId="54" applyNumberFormat="1" applyFont="1" applyFill="1" applyBorder="1" applyAlignment="1">
      <alignment horizontal="center" vertical="center"/>
      <protection/>
    </xf>
    <xf numFmtId="0" fontId="6" fillId="33" borderId="0" xfId="54" applyFont="1" applyFill="1" applyAlignment="1">
      <alignment vertical="center"/>
      <protection/>
    </xf>
    <xf numFmtId="0" fontId="4" fillId="33" borderId="0" xfId="54" applyFont="1" applyFill="1" applyAlignment="1">
      <alignment vertical="center"/>
      <protection/>
    </xf>
    <xf numFmtId="177" fontId="4" fillId="33" borderId="0" xfId="54" applyNumberFormat="1" applyFont="1" applyFill="1" applyAlignment="1">
      <alignment vertical="center"/>
      <protection/>
    </xf>
    <xf numFmtId="0" fontId="9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6" fillId="33" borderId="0" xfId="54" applyFont="1" applyFill="1" applyAlignment="1">
      <alignment vertical="center" wrapText="1"/>
      <protection/>
    </xf>
    <xf numFmtId="2" fontId="4" fillId="33" borderId="11" xfId="54" applyNumberFormat="1" applyFont="1" applyFill="1" applyBorder="1" applyAlignment="1">
      <alignment vertical="center" wrapText="1"/>
      <protection/>
    </xf>
    <xf numFmtId="0" fontId="4" fillId="33" borderId="0" xfId="54" applyFont="1" applyFill="1" applyBorder="1" applyAlignment="1">
      <alignment vertical="center" wrapText="1"/>
      <protection/>
    </xf>
    <xf numFmtId="177" fontId="4" fillId="33" borderId="0" xfId="54" applyNumberFormat="1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 vertical="center"/>
      <protection/>
    </xf>
    <xf numFmtId="0" fontId="10" fillId="33" borderId="0" xfId="0" applyFont="1" applyFill="1" applyAlignment="1">
      <alignment vertical="center"/>
    </xf>
    <xf numFmtId="0" fontId="5" fillId="33" borderId="12" xfId="54" applyFont="1" applyFill="1" applyBorder="1" applyAlignment="1">
      <alignment vertical="center" wrapText="1"/>
      <protection/>
    </xf>
    <xf numFmtId="2" fontId="5" fillId="33" borderId="11" xfId="54" applyNumberFormat="1" applyFont="1" applyFill="1" applyBorder="1" applyAlignment="1">
      <alignment vertical="center" wrapText="1"/>
      <protection/>
    </xf>
    <xf numFmtId="0" fontId="4" fillId="33" borderId="0" xfId="54" applyFont="1" applyFill="1" applyBorder="1" applyAlignment="1">
      <alignment horizontal="left" vertical="center"/>
      <protection/>
    </xf>
    <xf numFmtId="0" fontId="5" fillId="33" borderId="0" xfId="54" applyFont="1" applyFill="1" applyBorder="1" applyAlignment="1">
      <alignment vertical="center" wrapText="1"/>
      <protection/>
    </xf>
    <xf numFmtId="177" fontId="5" fillId="33" borderId="0" xfId="54" applyNumberFormat="1" applyFont="1" applyFill="1" applyBorder="1" applyAlignment="1">
      <alignment vertical="center"/>
      <protection/>
    </xf>
    <xf numFmtId="0" fontId="5" fillId="33" borderId="0" xfId="54" applyFont="1" applyFill="1" applyBorder="1" applyAlignment="1">
      <alignment vertical="center"/>
      <protection/>
    </xf>
    <xf numFmtId="3" fontId="8" fillId="33" borderId="10" xfId="54" applyNumberFormat="1" applyFont="1" applyFill="1" applyBorder="1" applyAlignment="1">
      <alignment horizontal="center" vertical="center" wrapText="1"/>
      <protection/>
    </xf>
    <xf numFmtId="0" fontId="6" fillId="33" borderId="0" xfId="54" applyFont="1" applyFill="1" applyBorder="1" applyAlignment="1">
      <alignment vertical="center"/>
      <protection/>
    </xf>
    <xf numFmtId="3" fontId="6" fillId="33" borderId="10" xfId="54" applyNumberFormat="1" applyFont="1" applyFill="1" applyBorder="1" applyAlignment="1">
      <alignment horizontal="center" vertical="center"/>
      <protection/>
    </xf>
    <xf numFmtId="3" fontId="6" fillId="33" borderId="10" xfId="54" applyNumberFormat="1" applyFont="1" applyFill="1" applyBorder="1" applyAlignment="1">
      <alignment horizontal="center" vertical="center" wrapText="1"/>
      <protection/>
    </xf>
    <xf numFmtId="180" fontId="6" fillId="33" borderId="10" xfId="54" applyNumberFormat="1" applyFont="1" applyFill="1" applyBorder="1" applyAlignment="1">
      <alignment horizontal="center" vertical="center"/>
      <protection/>
    </xf>
    <xf numFmtId="180" fontId="6" fillId="33" borderId="0" xfId="54" applyNumberFormat="1" applyFont="1" applyFill="1" applyAlignment="1">
      <alignment horizontal="center" vertical="center"/>
      <protection/>
    </xf>
    <xf numFmtId="0" fontId="9" fillId="33" borderId="13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4" fontId="6" fillId="33" borderId="10" xfId="54" applyNumberFormat="1" applyFont="1" applyFill="1" applyBorder="1" applyAlignment="1">
      <alignment horizontal="center" vertical="center"/>
      <protection/>
    </xf>
    <xf numFmtId="180" fontId="6" fillId="33" borderId="0" xfId="54" applyNumberFormat="1" applyFont="1" applyFill="1" applyAlignment="1">
      <alignment vertical="center"/>
      <protection/>
    </xf>
    <xf numFmtId="3" fontId="5" fillId="33" borderId="11" xfId="54" applyNumberFormat="1" applyFont="1" applyFill="1" applyBorder="1" applyAlignment="1">
      <alignment horizontal="center" vertical="center" wrapText="1"/>
      <protection/>
    </xf>
    <xf numFmtId="4" fontId="6" fillId="33" borderId="0" xfId="54" applyNumberFormat="1" applyFont="1" applyFill="1" applyAlignment="1">
      <alignment horizontal="center" vertical="center"/>
      <protection/>
    </xf>
    <xf numFmtId="3" fontId="6" fillId="33" borderId="0" xfId="54" applyNumberFormat="1" applyFont="1" applyFill="1" applyAlignment="1">
      <alignment horizontal="center" vertical="center"/>
      <protection/>
    </xf>
    <xf numFmtId="1" fontId="4" fillId="33" borderId="11" xfId="54" applyNumberFormat="1" applyFont="1" applyFill="1" applyBorder="1" applyAlignment="1">
      <alignment horizontal="center" vertical="center" wrapText="1"/>
      <protection/>
    </xf>
    <xf numFmtId="1" fontId="4" fillId="33" borderId="0" xfId="54" applyNumberFormat="1" applyFont="1" applyFill="1" applyBorder="1" applyAlignment="1">
      <alignment horizontal="center" vertical="center"/>
      <protection/>
    </xf>
    <xf numFmtId="1" fontId="4" fillId="33" borderId="0" xfId="54" applyNumberFormat="1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 wrapText="1"/>
    </xf>
    <xf numFmtId="4" fontId="6" fillId="33" borderId="10" xfId="54" applyNumberFormat="1" applyFont="1" applyFill="1" applyBorder="1" applyAlignment="1">
      <alignment horizontal="center" wrapText="1"/>
      <protection/>
    </xf>
    <xf numFmtId="0" fontId="6" fillId="33" borderId="0" xfId="54" applyFont="1" applyFill="1" applyAlignment="1">
      <alignment wrapText="1"/>
      <protection/>
    </xf>
    <xf numFmtId="3" fontId="6" fillId="33" borderId="10" xfId="54" applyNumberFormat="1" applyFont="1" applyFill="1" applyBorder="1" applyAlignment="1">
      <alignment horizontal="center" wrapText="1"/>
      <protection/>
    </xf>
    <xf numFmtId="180" fontId="6" fillId="33" borderId="10" xfId="54" applyNumberFormat="1" applyFont="1" applyFill="1" applyBorder="1" applyAlignment="1">
      <alignment horizontal="center" wrapText="1"/>
      <protection/>
    </xf>
    <xf numFmtId="0" fontId="9" fillId="33" borderId="14" xfId="0" applyFont="1" applyFill="1" applyBorder="1" applyAlignment="1">
      <alignment horizontal="center" wrapText="1"/>
    </xf>
    <xf numFmtId="0" fontId="5" fillId="33" borderId="15" xfId="54" applyFont="1" applyFill="1" applyBorder="1" applyAlignment="1">
      <alignment wrapText="1"/>
      <protection/>
    </xf>
    <xf numFmtId="3" fontId="8" fillId="33" borderId="10" xfId="54" applyNumberFormat="1" applyFont="1" applyFill="1" applyBorder="1" applyAlignment="1">
      <alignment horizontal="center" wrapText="1"/>
      <protection/>
    </xf>
    <xf numFmtId="177" fontId="6" fillId="33" borderId="10" xfId="54" applyNumberFormat="1" applyFont="1" applyFill="1" applyBorder="1" applyAlignment="1">
      <alignment horizontal="center" vertical="center"/>
      <protection/>
    </xf>
    <xf numFmtId="182" fontId="6" fillId="33" borderId="10" xfId="54" applyNumberFormat="1" applyFont="1" applyFill="1" applyBorder="1" applyAlignment="1">
      <alignment horizontal="center" vertical="center"/>
      <protection/>
    </xf>
    <xf numFmtId="180" fontId="6" fillId="33" borderId="0" xfId="54" applyNumberFormat="1" applyFont="1" applyFill="1" applyBorder="1" applyAlignment="1">
      <alignment vertical="center"/>
      <protection/>
    </xf>
    <xf numFmtId="0" fontId="6" fillId="33" borderId="0" xfId="54" applyFont="1" applyFill="1" applyAlignment="1">
      <alignment horizontal="center" vertical="center"/>
      <protection/>
    </xf>
    <xf numFmtId="180" fontId="6" fillId="33" borderId="16" xfId="54" applyNumberFormat="1" applyFont="1" applyFill="1" applyBorder="1" applyAlignment="1">
      <alignment horizontal="center" vertical="center"/>
      <protection/>
    </xf>
    <xf numFmtId="177" fontId="6" fillId="33" borderId="0" xfId="54" applyNumberFormat="1" applyFont="1" applyFill="1" applyBorder="1" applyAlignment="1">
      <alignment vertical="center"/>
      <protection/>
    </xf>
    <xf numFmtId="180" fontId="6" fillId="33" borderId="0" xfId="54" applyNumberFormat="1" applyFont="1" applyFill="1" applyBorder="1" applyAlignment="1">
      <alignment vertical="center" wrapText="1"/>
      <protection/>
    </xf>
    <xf numFmtId="177" fontId="6" fillId="33" borderId="0" xfId="54" applyNumberFormat="1" applyFont="1" applyFill="1" applyBorder="1" applyAlignment="1">
      <alignment vertical="center" wrapText="1"/>
      <protection/>
    </xf>
    <xf numFmtId="0" fontId="6" fillId="33" borderId="0" xfId="54" applyFont="1" applyFill="1" applyBorder="1" applyAlignment="1">
      <alignment vertical="center" wrapText="1"/>
      <protection/>
    </xf>
    <xf numFmtId="0" fontId="10" fillId="33" borderId="0" xfId="0" applyFont="1" applyFill="1" applyBorder="1" applyAlignment="1">
      <alignment vertical="center"/>
    </xf>
    <xf numFmtId="182" fontId="6" fillId="33" borderId="10" xfId="54" applyNumberFormat="1" applyFont="1" applyFill="1" applyBorder="1" applyAlignment="1">
      <alignment horizontal="center" wrapText="1"/>
      <protection/>
    </xf>
    <xf numFmtId="0" fontId="6" fillId="33" borderId="0" xfId="54" applyFont="1" applyFill="1">
      <alignment/>
      <protection/>
    </xf>
    <xf numFmtId="0" fontId="49" fillId="33" borderId="17" xfId="54" applyFont="1" applyFill="1" applyBorder="1" applyAlignment="1">
      <alignment horizontal="left"/>
      <protection/>
    </xf>
    <xf numFmtId="177" fontId="5" fillId="33" borderId="0" xfId="54" applyNumberFormat="1" applyFont="1" applyFill="1" applyAlignment="1">
      <alignment horizontal="center"/>
      <protection/>
    </xf>
    <xf numFmtId="177" fontId="4" fillId="33" borderId="0" xfId="54" applyNumberFormat="1" applyFont="1" applyFill="1" applyBorder="1" applyAlignment="1">
      <alignment vertical="center" wrapText="1"/>
      <protection/>
    </xf>
    <xf numFmtId="0" fontId="6" fillId="33" borderId="0" xfId="54" applyFont="1" applyFill="1" applyBorder="1">
      <alignment/>
      <protection/>
    </xf>
    <xf numFmtId="1" fontId="4" fillId="33" borderId="13" xfId="54" applyNumberFormat="1" applyFont="1" applyFill="1" applyBorder="1" applyAlignment="1">
      <alignment horizontal="center" vertical="center"/>
      <protection/>
    </xf>
    <xf numFmtId="1" fontId="6" fillId="33" borderId="0" xfId="54" applyNumberFormat="1" applyFont="1" applyFill="1">
      <alignment/>
      <protection/>
    </xf>
    <xf numFmtId="1" fontId="4" fillId="33" borderId="13" xfId="54" applyNumberFormat="1" applyFont="1" applyFill="1" applyBorder="1" applyAlignment="1">
      <alignment horizontal="center"/>
      <protection/>
    </xf>
    <xf numFmtId="2" fontId="9" fillId="33" borderId="10" xfId="0" applyNumberFormat="1" applyFont="1" applyFill="1" applyBorder="1" applyAlignment="1">
      <alignment/>
    </xf>
    <xf numFmtId="180" fontId="9" fillId="33" borderId="10" xfId="54" applyNumberFormat="1" applyFont="1" applyFill="1" applyBorder="1" applyAlignment="1">
      <alignment horizontal="center"/>
      <protection/>
    </xf>
    <xf numFmtId="2" fontId="6" fillId="33" borderId="0" xfId="54" applyNumberFormat="1" applyFont="1" applyFill="1" applyAlignment="1">
      <alignment/>
      <protection/>
    </xf>
    <xf numFmtId="1" fontId="4" fillId="33" borderId="10" xfId="54" applyNumberFormat="1" applyFont="1" applyFill="1" applyBorder="1" applyAlignment="1">
      <alignment horizontal="center"/>
      <protection/>
    </xf>
    <xf numFmtId="2" fontId="9" fillId="33" borderId="10" xfId="0" applyNumberFormat="1" applyFont="1" applyFill="1" applyBorder="1" applyAlignment="1">
      <alignment wrapText="1"/>
    </xf>
    <xf numFmtId="1" fontId="4" fillId="33" borderId="13" xfId="54" applyNumberFormat="1" applyFont="1" applyFill="1" applyBorder="1" applyAlignment="1">
      <alignment horizontal="center" wrapText="1"/>
      <protection/>
    </xf>
    <xf numFmtId="2" fontId="6" fillId="33" borderId="0" xfId="54" applyNumberFormat="1" applyFont="1" applyFill="1" applyAlignment="1">
      <alignment wrapText="1"/>
      <protection/>
    </xf>
    <xf numFmtId="1" fontId="4" fillId="33" borderId="10" xfId="54" applyNumberFormat="1" applyFont="1" applyFill="1" applyBorder="1" applyAlignment="1">
      <alignment horizontal="center" wrapText="1"/>
      <protection/>
    </xf>
    <xf numFmtId="2" fontId="13" fillId="33" borderId="0" xfId="54" applyNumberFormat="1" applyFont="1" applyFill="1" applyAlignment="1">
      <alignment wrapText="1"/>
      <protection/>
    </xf>
    <xf numFmtId="2" fontId="5" fillId="33" borderId="10" xfId="54" applyNumberFormat="1" applyFont="1" applyFill="1" applyBorder="1" applyAlignment="1">
      <alignment wrapText="1"/>
      <protection/>
    </xf>
    <xf numFmtId="2" fontId="5" fillId="33" borderId="18" xfId="54" applyNumberFormat="1" applyFont="1" applyFill="1" applyBorder="1" applyAlignment="1">
      <alignment vertical="top" wrapText="1"/>
      <protection/>
    </xf>
    <xf numFmtId="2" fontId="4" fillId="33" borderId="0" xfId="54" applyNumberFormat="1" applyFont="1" applyFill="1" applyBorder="1" applyAlignment="1">
      <alignment vertical="top" wrapText="1"/>
      <protection/>
    </xf>
    <xf numFmtId="1" fontId="4" fillId="33" borderId="0" xfId="54" applyNumberFormat="1" applyFont="1" applyFill="1" applyBorder="1" applyAlignment="1">
      <alignment horizontal="center" vertical="top" wrapText="1"/>
      <protection/>
    </xf>
    <xf numFmtId="0" fontId="4" fillId="33" borderId="0" xfId="54" applyFont="1" applyFill="1" applyBorder="1" applyAlignment="1">
      <alignment horizontal="center" vertical="top" wrapText="1"/>
      <protection/>
    </xf>
    <xf numFmtId="0" fontId="4" fillId="33" borderId="0" xfId="54" applyFont="1" applyFill="1" applyBorder="1" applyAlignment="1">
      <alignment vertical="top" wrapText="1"/>
      <protection/>
    </xf>
    <xf numFmtId="1" fontId="4" fillId="33" borderId="0" xfId="54" applyNumberFormat="1" applyFont="1" applyFill="1" applyBorder="1" applyAlignment="1">
      <alignment horizontal="center" vertical="top" wrapText="1"/>
      <protection/>
    </xf>
    <xf numFmtId="180" fontId="4" fillId="33" borderId="0" xfId="54" applyNumberFormat="1" applyFont="1" applyFill="1" applyBorder="1" applyAlignment="1">
      <alignment horizontal="center" vertical="top" wrapText="1"/>
      <protection/>
    </xf>
    <xf numFmtId="177" fontId="4" fillId="33" borderId="0" xfId="54" applyNumberFormat="1" applyFont="1" applyFill="1" applyBorder="1">
      <alignment/>
      <protection/>
    </xf>
    <xf numFmtId="0" fontId="4" fillId="33" borderId="0" xfId="54" applyFont="1" applyFill="1" applyBorder="1" applyAlignment="1">
      <alignment horizontal="left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10" fillId="33" borderId="0" xfId="0" applyFont="1" applyFill="1" applyAlignment="1">
      <alignment/>
    </xf>
    <xf numFmtId="0" fontId="4" fillId="33" borderId="0" xfId="54" applyFont="1" applyFill="1" applyBorder="1">
      <alignment/>
      <protection/>
    </xf>
    <xf numFmtId="0" fontId="5" fillId="33" borderId="0" xfId="54" applyFont="1" applyFill="1" applyBorder="1">
      <alignment/>
      <protection/>
    </xf>
    <xf numFmtId="177" fontId="5" fillId="33" borderId="0" xfId="54" applyNumberFormat="1" applyFont="1" applyFill="1" applyBorder="1" applyAlignment="1">
      <alignment horizontal="center"/>
      <protection/>
    </xf>
    <xf numFmtId="0" fontId="4" fillId="33" borderId="0" xfId="54" applyFont="1" applyFill="1">
      <alignment/>
      <protection/>
    </xf>
    <xf numFmtId="177" fontId="4" fillId="33" borderId="0" xfId="54" applyNumberFormat="1" applyFont="1" applyFill="1">
      <alignment/>
      <protection/>
    </xf>
    <xf numFmtId="177" fontId="4" fillId="33" borderId="10" xfId="54" applyNumberFormat="1" applyFont="1" applyFill="1" applyBorder="1" applyAlignment="1">
      <alignment horizontal="center" vertical="center" wrapText="1"/>
      <protection/>
    </xf>
    <xf numFmtId="180" fontId="7" fillId="33" borderId="0" xfId="0" applyNumberFormat="1" applyFont="1" applyFill="1" applyBorder="1" applyAlignment="1">
      <alignment horizontal="center" vertical="center" wrapText="1"/>
    </xf>
    <xf numFmtId="0" fontId="9" fillId="33" borderId="10" xfId="54" applyFont="1" applyFill="1" applyBorder="1" applyAlignment="1">
      <alignment horizontal="center" vertical="center" wrapText="1"/>
      <protection/>
    </xf>
    <xf numFmtId="0" fontId="5" fillId="33" borderId="0" xfId="54" applyFont="1" applyFill="1" applyAlignment="1">
      <alignment horizontal="center" vertical="center"/>
      <protection/>
    </xf>
    <xf numFmtId="177" fontId="5" fillId="33" borderId="10" xfId="54" applyNumberFormat="1" applyFont="1" applyFill="1" applyBorder="1" applyAlignment="1">
      <alignment horizontal="center" vertical="center" wrapText="1"/>
      <protection/>
    </xf>
    <xf numFmtId="0" fontId="6" fillId="33" borderId="14" xfId="54" applyFont="1" applyFill="1" applyBorder="1" applyAlignment="1">
      <alignment horizontal="center" vertical="center" wrapText="1"/>
      <protection/>
    </xf>
    <xf numFmtId="0" fontId="6" fillId="33" borderId="0" xfId="54" applyFont="1" applyFill="1" applyBorder="1" applyAlignment="1">
      <alignment horizontal="center" vertical="center"/>
      <protection/>
    </xf>
    <xf numFmtId="0" fontId="5" fillId="33" borderId="0" xfId="54" applyFont="1" applyFill="1" applyAlignment="1">
      <alignment horizontal="center"/>
      <protection/>
    </xf>
    <xf numFmtId="0" fontId="4" fillId="33" borderId="13" xfId="54" applyFont="1" applyFill="1" applyBorder="1" applyAlignment="1">
      <alignment horizontal="center" vertical="center" wrapText="1"/>
      <protection/>
    </xf>
    <xf numFmtId="177" fontId="4" fillId="33" borderId="19" xfId="54" applyNumberFormat="1" applyFont="1" applyFill="1" applyBorder="1" applyAlignment="1">
      <alignment horizontal="center" vertical="center" wrapText="1"/>
      <protection/>
    </xf>
    <xf numFmtId="177" fontId="4" fillId="33" borderId="20" xfId="54" applyNumberFormat="1" applyFont="1" applyFill="1" applyBorder="1" applyAlignment="1">
      <alignment horizontal="center" vertical="center" wrapText="1"/>
      <protection/>
    </xf>
    <xf numFmtId="0" fontId="9" fillId="33" borderId="13" xfId="54" applyFont="1" applyFill="1" applyBorder="1" applyAlignment="1">
      <alignment horizontal="center" vertical="center" wrapText="1"/>
      <protection/>
    </xf>
    <xf numFmtId="0" fontId="6" fillId="33" borderId="21" xfId="54" applyFont="1" applyFill="1" applyBorder="1" applyAlignment="1">
      <alignment horizontal="center" vertical="center" wrapText="1"/>
      <protection/>
    </xf>
    <xf numFmtId="1" fontId="9" fillId="33" borderId="13" xfId="54" applyNumberFormat="1" applyFont="1" applyFill="1" applyBorder="1" applyAlignment="1">
      <alignment horizontal="center" wrapText="1"/>
      <protection/>
    </xf>
    <xf numFmtId="0" fontId="6" fillId="33" borderId="16" xfId="54" applyFont="1" applyFill="1" applyBorder="1" applyAlignment="1">
      <alignment horizontal="center" wrapText="1"/>
      <protection/>
    </xf>
    <xf numFmtId="1" fontId="9" fillId="33" borderId="10" xfId="54" applyNumberFormat="1" applyFont="1" applyFill="1" applyBorder="1" applyAlignment="1">
      <alignment horizontal="center" wrapText="1"/>
      <protection/>
    </xf>
    <xf numFmtId="1" fontId="9" fillId="33" borderId="16" xfId="54" applyNumberFormat="1" applyFont="1" applyFill="1" applyBorder="1" applyAlignment="1">
      <alignment horizontal="center" wrapText="1"/>
      <protection/>
    </xf>
    <xf numFmtId="1" fontId="9" fillId="34" borderId="22" xfId="55" applyNumberFormat="1" applyFont="1" applyFill="1" applyBorder="1" applyAlignment="1">
      <alignment horizontal="center" wrapText="1"/>
      <protection/>
    </xf>
    <xf numFmtId="0" fontId="6" fillId="34" borderId="23" xfId="55" applyFont="1" applyFill="1" applyBorder="1" applyAlignment="1">
      <alignment horizontal="center" wrapText="1"/>
      <protection/>
    </xf>
    <xf numFmtId="1" fontId="6" fillId="33" borderId="16" xfId="54" applyNumberFormat="1" applyFont="1" applyFill="1" applyBorder="1" applyAlignment="1">
      <alignment horizontal="center" wrapText="1"/>
      <protection/>
    </xf>
    <xf numFmtId="0" fontId="9" fillId="33" borderId="16" xfId="54" applyFont="1" applyFill="1" applyBorder="1" applyAlignment="1">
      <alignment horizontal="center" wrapText="1"/>
      <protection/>
    </xf>
    <xf numFmtId="1" fontId="9" fillId="33" borderId="24" xfId="54" applyNumberFormat="1" applyFont="1" applyFill="1" applyBorder="1" applyAlignment="1">
      <alignment horizontal="center" wrapText="1"/>
      <protection/>
    </xf>
    <xf numFmtId="1" fontId="9" fillId="33" borderId="25" xfId="54" applyNumberFormat="1" applyFont="1" applyFill="1" applyBorder="1" applyAlignment="1">
      <alignment horizontal="center" wrapText="1"/>
      <protection/>
    </xf>
    <xf numFmtId="3" fontId="9" fillId="33" borderId="10" xfId="54" applyNumberFormat="1" applyFont="1" applyFill="1" applyBorder="1" applyAlignment="1">
      <alignment horizontal="center" wrapText="1"/>
      <protection/>
    </xf>
    <xf numFmtId="1" fontId="9" fillId="33" borderId="19" xfId="54" applyNumberFormat="1" applyFont="1" applyFill="1" applyBorder="1" applyAlignment="1">
      <alignment horizontal="center" wrapText="1"/>
      <protection/>
    </xf>
    <xf numFmtId="3" fontId="8" fillId="33" borderId="15" xfId="54" applyNumberFormat="1" applyFont="1" applyFill="1" applyBorder="1" applyAlignment="1">
      <alignment horizontal="center" wrapText="1"/>
      <protection/>
    </xf>
    <xf numFmtId="3" fontId="8" fillId="33" borderId="16" xfId="54" applyNumberFormat="1" applyFont="1" applyFill="1" applyBorder="1" applyAlignment="1">
      <alignment horizontal="center" wrapText="1"/>
      <protection/>
    </xf>
    <xf numFmtId="2" fontId="4" fillId="33" borderId="0" xfId="54" applyNumberFormat="1" applyFont="1" applyFill="1" applyBorder="1" applyAlignment="1">
      <alignment vertical="center" wrapText="1"/>
      <protection/>
    </xf>
    <xf numFmtId="180" fontId="6" fillId="33" borderId="0" xfId="54" applyNumberFormat="1" applyFont="1" applyFill="1" applyAlignment="1">
      <alignment/>
      <protection/>
    </xf>
    <xf numFmtId="1" fontId="9" fillId="33" borderId="13" xfId="54" applyNumberFormat="1" applyFont="1" applyFill="1" applyBorder="1" applyAlignment="1">
      <alignment horizontal="center" vertical="center" wrapText="1"/>
      <protection/>
    </xf>
    <xf numFmtId="1" fontId="9" fillId="33" borderId="10" xfId="54" applyNumberFormat="1" applyFont="1" applyFill="1" applyBorder="1" applyAlignment="1">
      <alignment horizontal="center" vertical="center" wrapText="1"/>
      <protection/>
    </xf>
    <xf numFmtId="1" fontId="9" fillId="34" borderId="22" xfId="55" applyNumberFormat="1" applyFont="1" applyFill="1" applyBorder="1" applyAlignment="1">
      <alignment horizontal="center" vertical="top" wrapText="1"/>
      <protection/>
    </xf>
    <xf numFmtId="0" fontId="9" fillId="34" borderId="22" xfId="55" applyFont="1" applyFill="1" applyBorder="1" applyAlignment="1">
      <alignment horizontal="center" vertical="top" wrapText="1"/>
      <protection/>
    </xf>
    <xf numFmtId="1" fontId="9" fillId="33" borderId="10" xfId="54" applyNumberFormat="1" applyFont="1" applyFill="1" applyBorder="1" applyAlignment="1">
      <alignment horizontal="center" vertical="top" wrapText="1"/>
      <protection/>
    </xf>
    <xf numFmtId="3" fontId="9" fillId="33" borderId="10" xfId="54" applyNumberFormat="1" applyFont="1" applyFill="1" applyBorder="1" applyAlignment="1">
      <alignment horizontal="center" vertical="center" wrapText="1"/>
      <protection/>
    </xf>
    <xf numFmtId="1" fontId="4" fillId="33" borderId="24" xfId="54" applyNumberFormat="1" applyFont="1" applyFill="1" applyBorder="1" applyAlignment="1">
      <alignment horizontal="center" wrapText="1"/>
      <protection/>
    </xf>
    <xf numFmtId="2" fontId="9" fillId="33" borderId="24" xfId="0" applyNumberFormat="1" applyFont="1" applyFill="1" applyBorder="1" applyAlignment="1">
      <alignment wrapText="1"/>
    </xf>
    <xf numFmtId="1" fontId="9" fillId="33" borderId="24" xfId="54" applyNumberFormat="1" applyFont="1" applyFill="1" applyBorder="1" applyAlignment="1">
      <alignment horizontal="center" vertical="center" wrapText="1"/>
      <protection/>
    </xf>
    <xf numFmtId="180" fontId="9" fillId="33" borderId="24" xfId="54" applyNumberFormat="1" applyFont="1" applyFill="1" applyBorder="1" applyAlignment="1">
      <alignment horizontal="center"/>
      <protection/>
    </xf>
    <xf numFmtId="3" fontId="9" fillId="33" borderId="13" xfId="0" applyNumberFormat="1" applyFont="1" applyFill="1" applyBorder="1" applyAlignment="1">
      <alignment horizontal="center" vertical="center"/>
    </xf>
    <xf numFmtId="3" fontId="9" fillId="33" borderId="13" xfId="54" applyNumberFormat="1" applyFont="1" applyFill="1" applyBorder="1" applyAlignment="1">
      <alignment horizontal="center" wrapText="1"/>
      <protection/>
    </xf>
    <xf numFmtId="176" fontId="9" fillId="33" borderId="13" xfId="54" applyNumberFormat="1" applyFont="1" applyFill="1" applyBorder="1" applyAlignment="1">
      <alignment horizontal="center" wrapText="1"/>
      <protection/>
    </xf>
    <xf numFmtId="177" fontId="9" fillId="33" borderId="13" xfId="0" applyNumberFormat="1" applyFont="1" applyFill="1" applyBorder="1" applyAlignment="1">
      <alignment horizontal="center"/>
    </xf>
    <xf numFmtId="3" fontId="9" fillId="33" borderId="10" xfId="0" applyNumberFormat="1" applyFont="1" applyFill="1" applyBorder="1" applyAlignment="1">
      <alignment horizontal="center" vertical="center"/>
    </xf>
    <xf numFmtId="3" fontId="9" fillId="33" borderId="10" xfId="53" applyNumberFormat="1" applyFont="1" applyFill="1" applyBorder="1" applyAlignment="1">
      <alignment horizontal="center" vertical="center"/>
      <protection/>
    </xf>
    <xf numFmtId="0" fontId="9" fillId="33" borderId="10" xfId="53" applyFont="1" applyFill="1" applyBorder="1" applyAlignment="1">
      <alignment horizontal="center" vertical="center"/>
      <protection/>
    </xf>
    <xf numFmtId="3" fontId="9" fillId="34" borderId="22" xfId="53" applyNumberFormat="1" applyFont="1" applyFill="1" applyBorder="1" applyAlignment="1">
      <alignment horizontal="center"/>
      <protection/>
    </xf>
    <xf numFmtId="0" fontId="9" fillId="34" borderId="22" xfId="53" applyFont="1" applyFill="1" applyBorder="1" applyAlignment="1">
      <alignment horizontal="center"/>
      <protection/>
    </xf>
    <xf numFmtId="3" fontId="9" fillId="33" borderId="10" xfId="53" applyNumberFormat="1" applyFont="1" applyFill="1" applyBorder="1" applyAlignment="1">
      <alignment horizontal="center" vertical="center" wrapText="1"/>
      <protection/>
    </xf>
    <xf numFmtId="0" fontId="9" fillId="33" borderId="10" xfId="53" applyFont="1" applyFill="1" applyBorder="1" applyAlignment="1">
      <alignment horizontal="center" vertical="center" wrapText="1"/>
      <protection/>
    </xf>
    <xf numFmtId="3" fontId="9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3" fontId="9" fillId="33" borderId="24" xfId="0" applyNumberFormat="1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3" fontId="9" fillId="33" borderId="14" xfId="54" applyNumberFormat="1" applyFont="1" applyFill="1" applyBorder="1" applyAlignment="1">
      <alignment horizontal="center" wrapText="1"/>
      <protection/>
    </xf>
    <xf numFmtId="176" fontId="9" fillId="33" borderId="14" xfId="54" applyNumberFormat="1" applyFont="1" applyFill="1" applyBorder="1" applyAlignment="1">
      <alignment horizontal="center" wrapText="1"/>
      <protection/>
    </xf>
    <xf numFmtId="177" fontId="9" fillId="33" borderId="14" xfId="0" applyNumberFormat="1" applyFont="1" applyFill="1" applyBorder="1" applyAlignment="1">
      <alignment horizontal="center"/>
    </xf>
    <xf numFmtId="0" fontId="5" fillId="33" borderId="0" xfId="54" applyFont="1" applyFill="1" applyAlignment="1">
      <alignment/>
      <protection/>
    </xf>
    <xf numFmtId="0" fontId="4" fillId="33" borderId="0" xfId="54" applyFont="1" applyFill="1" applyAlignment="1">
      <alignment/>
      <protection/>
    </xf>
    <xf numFmtId="0" fontId="5" fillId="33" borderId="15" xfId="54" applyFont="1" applyFill="1" applyBorder="1" applyAlignment="1">
      <alignment vertical="center" wrapText="1"/>
      <protection/>
    </xf>
    <xf numFmtId="180" fontId="13" fillId="33" borderId="10" xfId="54" applyNumberFormat="1" applyFont="1" applyFill="1" applyBorder="1" applyAlignment="1">
      <alignment horizontal="center" vertical="center"/>
      <protection/>
    </xf>
    <xf numFmtId="0" fontId="7" fillId="33" borderId="0" xfId="0" applyFont="1" applyFill="1" applyBorder="1" applyAlignment="1">
      <alignment horizontal="center" vertical="center"/>
    </xf>
    <xf numFmtId="0" fontId="5" fillId="33" borderId="0" xfId="54" applyFont="1" applyFill="1" applyAlignment="1">
      <alignment horizontal="center" vertical="center"/>
      <protection/>
    </xf>
    <xf numFmtId="180" fontId="7" fillId="33" borderId="0" xfId="0" applyNumberFormat="1" applyFont="1" applyFill="1" applyBorder="1" applyAlignment="1">
      <alignment horizontal="center" vertical="center" wrapText="1"/>
    </xf>
    <xf numFmtId="2" fontId="5" fillId="33" borderId="24" xfId="54" applyNumberFormat="1" applyFont="1" applyFill="1" applyBorder="1" applyAlignment="1">
      <alignment horizontal="center" vertical="center" wrapText="1"/>
      <protection/>
    </xf>
    <xf numFmtId="2" fontId="5" fillId="33" borderId="14" xfId="54" applyNumberFormat="1" applyFont="1" applyFill="1" applyBorder="1" applyAlignment="1">
      <alignment horizontal="center" vertical="center" wrapText="1"/>
      <protection/>
    </xf>
    <xf numFmtId="2" fontId="5" fillId="33" borderId="13" xfId="54" applyNumberFormat="1" applyFont="1" applyFill="1" applyBorder="1" applyAlignment="1">
      <alignment horizontal="center" vertical="center" wrapText="1"/>
      <protection/>
    </xf>
    <xf numFmtId="177" fontId="5" fillId="33" borderId="10" xfId="54" applyNumberFormat="1" applyFont="1" applyFill="1" applyBorder="1" applyAlignment="1">
      <alignment horizontal="center" vertical="center" wrapText="1"/>
      <protection/>
    </xf>
    <xf numFmtId="180" fontId="7" fillId="33" borderId="10" xfId="0" applyNumberFormat="1" applyFont="1" applyFill="1" applyBorder="1" applyAlignment="1">
      <alignment horizontal="center" vertical="center" wrapText="1"/>
    </xf>
    <xf numFmtId="180" fontId="9" fillId="33" borderId="16" xfId="0" applyNumberFormat="1" applyFont="1" applyFill="1" applyBorder="1" applyAlignment="1">
      <alignment horizontal="center" vertical="center" wrapText="1"/>
    </xf>
    <xf numFmtId="180" fontId="9" fillId="33" borderId="26" xfId="0" applyNumberFormat="1" applyFont="1" applyFill="1" applyBorder="1" applyAlignment="1">
      <alignment horizontal="center" vertical="center" wrapText="1"/>
    </xf>
    <xf numFmtId="180" fontId="9" fillId="33" borderId="27" xfId="0" applyNumberFormat="1" applyFont="1" applyFill="1" applyBorder="1" applyAlignment="1">
      <alignment horizontal="center" vertical="center" wrapText="1"/>
    </xf>
    <xf numFmtId="180" fontId="9" fillId="33" borderId="24" xfId="0" applyNumberFormat="1" applyFont="1" applyFill="1" applyBorder="1" applyAlignment="1">
      <alignment horizontal="center" vertical="center" wrapText="1"/>
    </xf>
    <xf numFmtId="180" fontId="9" fillId="33" borderId="14" xfId="0" applyNumberFormat="1" applyFont="1" applyFill="1" applyBorder="1" applyAlignment="1">
      <alignment horizontal="center" vertical="center" wrapText="1"/>
    </xf>
    <xf numFmtId="180" fontId="9" fillId="33" borderId="13" xfId="0" applyNumberFormat="1" applyFont="1" applyFill="1" applyBorder="1" applyAlignment="1">
      <alignment horizontal="center" vertical="center" wrapText="1"/>
    </xf>
    <xf numFmtId="0" fontId="4" fillId="33" borderId="24" xfId="54" applyFont="1" applyFill="1" applyBorder="1" applyAlignment="1">
      <alignment horizontal="center" vertical="center" wrapText="1"/>
      <protection/>
    </xf>
    <xf numFmtId="0" fontId="4" fillId="33" borderId="14" xfId="54" applyFont="1" applyFill="1" applyBorder="1" applyAlignment="1">
      <alignment horizontal="center" vertical="center" wrapText="1"/>
      <protection/>
    </xf>
    <xf numFmtId="0" fontId="4" fillId="33" borderId="13" xfId="54" applyFont="1" applyFill="1" applyBorder="1" applyAlignment="1">
      <alignment horizontal="center" vertical="center" wrapText="1"/>
      <protection/>
    </xf>
    <xf numFmtId="0" fontId="6" fillId="33" borderId="24" xfId="54" applyFont="1" applyFill="1" applyBorder="1" applyAlignment="1">
      <alignment horizontal="center" vertical="center" wrapText="1"/>
      <protection/>
    </xf>
    <xf numFmtId="0" fontId="6" fillId="33" borderId="14" xfId="54" applyFont="1" applyFill="1" applyBorder="1" applyAlignment="1">
      <alignment horizontal="center" vertical="center" wrapText="1"/>
      <protection/>
    </xf>
    <xf numFmtId="0" fontId="6" fillId="33" borderId="13" xfId="54" applyFont="1" applyFill="1" applyBorder="1" applyAlignment="1">
      <alignment horizontal="center" vertical="center" wrapText="1"/>
      <protection/>
    </xf>
    <xf numFmtId="0" fontId="8" fillId="33" borderId="10" xfId="54" applyFont="1" applyFill="1" applyBorder="1" applyAlignment="1">
      <alignment horizontal="center" vertical="center" wrapText="1"/>
      <protection/>
    </xf>
    <xf numFmtId="177" fontId="5" fillId="33" borderId="16" xfId="54" applyNumberFormat="1" applyFont="1" applyFill="1" applyBorder="1" applyAlignment="1">
      <alignment horizontal="center" vertical="center" wrapText="1"/>
      <protection/>
    </xf>
    <xf numFmtId="177" fontId="5" fillId="33" borderId="26" xfId="54" applyNumberFormat="1" applyFont="1" applyFill="1" applyBorder="1" applyAlignment="1">
      <alignment horizontal="center" vertical="center" wrapText="1"/>
      <protection/>
    </xf>
    <xf numFmtId="177" fontId="4" fillId="33" borderId="10" xfId="54" applyNumberFormat="1" applyFont="1" applyFill="1" applyBorder="1" applyAlignment="1">
      <alignment horizontal="center" vertical="center" wrapText="1"/>
      <protection/>
    </xf>
    <xf numFmtId="177" fontId="11" fillId="33" borderId="10" xfId="54" applyNumberFormat="1" applyFont="1" applyFill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center" vertical="center" wrapText="1"/>
      <protection/>
    </xf>
    <xf numFmtId="2" fontId="4" fillId="33" borderId="24" xfId="54" applyNumberFormat="1" applyFont="1" applyFill="1" applyBorder="1" applyAlignment="1">
      <alignment horizontal="center" vertical="center" wrapText="1"/>
      <protection/>
    </xf>
    <xf numFmtId="2" fontId="4" fillId="33" borderId="14" xfId="54" applyNumberFormat="1" applyFont="1" applyFill="1" applyBorder="1" applyAlignment="1">
      <alignment horizontal="center" vertical="center" wrapText="1"/>
      <protection/>
    </xf>
    <xf numFmtId="2" fontId="4" fillId="33" borderId="13" xfId="54" applyNumberFormat="1" applyFont="1" applyFill="1" applyBorder="1" applyAlignment="1">
      <alignment horizontal="center" vertical="center" wrapText="1"/>
      <protection/>
    </xf>
    <xf numFmtId="180" fontId="9" fillId="33" borderId="10" xfId="0" applyNumberFormat="1" applyFont="1" applyFill="1" applyBorder="1" applyAlignment="1">
      <alignment horizontal="center" vertical="center" wrapText="1"/>
    </xf>
    <xf numFmtId="0" fontId="6" fillId="33" borderId="24" xfId="54" applyFont="1" applyFill="1" applyBorder="1" applyAlignment="1">
      <alignment horizontal="center" vertical="center"/>
      <protection/>
    </xf>
    <xf numFmtId="0" fontId="6" fillId="33" borderId="14" xfId="54" applyFont="1" applyFill="1" applyBorder="1" applyAlignment="1">
      <alignment horizontal="center" vertical="center"/>
      <protection/>
    </xf>
    <xf numFmtId="0" fontId="6" fillId="33" borderId="13" xfId="54" applyFont="1" applyFill="1" applyBorder="1" applyAlignment="1">
      <alignment horizontal="center" vertical="center"/>
      <protection/>
    </xf>
    <xf numFmtId="0" fontId="9" fillId="33" borderId="10" xfId="54" applyFont="1" applyFill="1" applyBorder="1" applyAlignment="1">
      <alignment horizontal="center" vertical="center" wrapText="1"/>
      <protection/>
    </xf>
    <xf numFmtId="177" fontId="4" fillId="33" borderId="16" xfId="54" applyNumberFormat="1" applyFont="1" applyFill="1" applyBorder="1" applyAlignment="1">
      <alignment horizontal="center" vertical="center" wrapText="1"/>
      <protection/>
    </xf>
    <xf numFmtId="177" fontId="4" fillId="33" borderId="26" xfId="54" applyNumberFormat="1" applyFont="1" applyFill="1" applyBorder="1" applyAlignment="1">
      <alignment horizontal="center" vertical="center" wrapText="1"/>
      <protection/>
    </xf>
    <xf numFmtId="177" fontId="12" fillId="33" borderId="10" xfId="54" applyNumberFormat="1" applyFont="1" applyFill="1" applyBorder="1" applyAlignment="1">
      <alignment horizontal="center" vertical="center" wrapText="1"/>
      <protection/>
    </xf>
    <xf numFmtId="177" fontId="9" fillId="33" borderId="10" xfId="54" applyNumberFormat="1" applyFont="1" applyFill="1" applyBorder="1" applyAlignment="1">
      <alignment horizontal="center" vertical="center" wrapText="1"/>
      <protection/>
    </xf>
    <xf numFmtId="0" fontId="6" fillId="33" borderId="10" xfId="54" applyFont="1" applyFill="1" applyBorder="1" applyAlignment="1">
      <alignment horizontal="center" vertical="center" wrapText="1"/>
      <protection/>
    </xf>
    <xf numFmtId="177" fontId="9" fillId="33" borderId="24" xfId="54" applyNumberFormat="1" applyFont="1" applyFill="1" applyBorder="1" applyAlignment="1">
      <alignment horizontal="center" vertical="center" wrapText="1"/>
      <protection/>
    </xf>
    <xf numFmtId="177" fontId="9" fillId="33" borderId="13" xfId="54" applyNumberFormat="1" applyFont="1" applyFill="1" applyBorder="1" applyAlignment="1">
      <alignment horizontal="center" vertical="center" wrapText="1"/>
      <protection/>
    </xf>
    <xf numFmtId="0" fontId="6" fillId="33" borderId="0" xfId="54" applyFont="1" applyFill="1" applyBorder="1" applyAlignment="1">
      <alignment horizontal="center" vertical="center" wrapText="1"/>
      <protection/>
    </xf>
    <xf numFmtId="0" fontId="6" fillId="33" borderId="0" xfId="54" applyFont="1" applyFill="1" applyBorder="1" applyAlignment="1">
      <alignment horizontal="center" vertical="center"/>
      <protection/>
    </xf>
    <xf numFmtId="0" fontId="6" fillId="33" borderId="16" xfId="54" applyFont="1" applyFill="1" applyBorder="1" applyAlignment="1">
      <alignment horizontal="center" vertical="center" wrapText="1"/>
      <protection/>
    </xf>
    <xf numFmtId="0" fontId="6" fillId="33" borderId="26" xfId="54" applyFont="1" applyFill="1" applyBorder="1" applyAlignment="1">
      <alignment horizontal="center" vertical="center" wrapText="1"/>
      <protection/>
    </xf>
    <xf numFmtId="0" fontId="7" fillId="33" borderId="0" xfId="0" applyFont="1" applyFill="1" applyBorder="1" applyAlignment="1">
      <alignment horizontal="center"/>
    </xf>
    <xf numFmtId="177" fontId="4" fillId="33" borderId="27" xfId="54" applyNumberFormat="1" applyFont="1" applyFill="1" applyBorder="1" applyAlignment="1">
      <alignment horizontal="center" vertical="center" wrapText="1"/>
      <protection/>
    </xf>
    <xf numFmtId="177" fontId="4" fillId="33" borderId="13" xfId="54" applyNumberFormat="1" applyFont="1" applyFill="1" applyBorder="1" applyAlignment="1">
      <alignment horizontal="center" vertical="center" wrapText="1"/>
      <protection/>
    </xf>
    <xf numFmtId="0" fontId="9" fillId="33" borderId="13" xfId="54" applyFont="1" applyFill="1" applyBorder="1" applyAlignment="1">
      <alignment horizontal="center" vertical="center" wrapText="1"/>
      <protection/>
    </xf>
    <xf numFmtId="0" fontId="4" fillId="33" borderId="24" xfId="54" applyFont="1" applyFill="1" applyBorder="1" applyAlignment="1">
      <alignment horizontal="center" vertical="center"/>
      <protection/>
    </xf>
    <xf numFmtId="0" fontId="4" fillId="33" borderId="14" xfId="54" applyFont="1" applyFill="1" applyBorder="1" applyAlignment="1">
      <alignment horizontal="center" vertical="center"/>
      <protection/>
    </xf>
    <xf numFmtId="0" fontId="4" fillId="33" borderId="13" xfId="54" applyFont="1" applyFill="1" applyBorder="1" applyAlignment="1">
      <alignment horizontal="center" vertical="center"/>
      <protection/>
    </xf>
    <xf numFmtId="1" fontId="5" fillId="33" borderId="24" xfId="54" applyNumberFormat="1" applyFont="1" applyFill="1" applyBorder="1" applyAlignment="1">
      <alignment horizontal="center" wrapText="1"/>
      <protection/>
    </xf>
    <xf numFmtId="2" fontId="5" fillId="33" borderId="24" xfId="54" applyNumberFormat="1" applyFont="1" applyFill="1" applyBorder="1" applyAlignment="1">
      <alignment wrapText="1"/>
      <protection/>
    </xf>
    <xf numFmtId="3" fontId="8" fillId="33" borderId="24" xfId="54" applyNumberFormat="1" applyFont="1" applyFill="1" applyBorder="1" applyAlignment="1">
      <alignment horizontal="center" wrapText="1"/>
      <protection/>
    </xf>
    <xf numFmtId="4" fontId="8" fillId="33" borderId="24" xfId="54" applyNumberFormat="1" applyFont="1" applyFill="1" applyBorder="1" applyAlignment="1">
      <alignment horizontal="center" wrapText="1"/>
      <protection/>
    </xf>
    <xf numFmtId="177" fontId="8" fillId="33" borderId="24" xfId="0" applyNumberFormat="1" applyFont="1" applyFill="1" applyBorder="1" applyAlignment="1">
      <alignment horizontal="center" wrapText="1"/>
    </xf>
    <xf numFmtId="2" fontId="8" fillId="33" borderId="24" xfId="54" applyNumberFormat="1" applyFont="1" applyFill="1" applyBorder="1" applyAlignment="1">
      <alignment horizontal="center" wrapText="1"/>
      <protection/>
    </xf>
    <xf numFmtId="180" fontId="8" fillId="33" borderId="24" xfId="54" applyNumberFormat="1" applyFont="1" applyFill="1" applyBorder="1" applyAlignment="1">
      <alignment horizontal="center" wrapText="1"/>
      <protection/>
    </xf>
    <xf numFmtId="1" fontId="4" fillId="33" borderId="0" xfId="54" applyNumberFormat="1" applyFont="1" applyFill="1" applyBorder="1" applyAlignment="1">
      <alignment horizontal="center" wrapText="1"/>
      <protection/>
    </xf>
    <xf numFmtId="2" fontId="4" fillId="33" borderId="0" xfId="54" applyNumberFormat="1" applyFont="1" applyFill="1" applyBorder="1" applyAlignment="1">
      <alignment wrapText="1"/>
      <protection/>
    </xf>
    <xf numFmtId="3" fontId="9" fillId="33" borderId="0" xfId="54" applyNumberFormat="1" applyFont="1" applyFill="1" applyBorder="1" applyAlignment="1">
      <alignment horizontal="center" vertical="top" wrapText="1"/>
      <protection/>
    </xf>
    <xf numFmtId="3" fontId="9" fillId="33" borderId="0" xfId="54" applyNumberFormat="1" applyFont="1" applyFill="1" applyBorder="1" applyAlignment="1">
      <alignment horizontal="center" wrapText="1"/>
      <protection/>
    </xf>
    <xf numFmtId="182" fontId="9" fillId="33" borderId="0" xfId="54" applyNumberFormat="1" applyFont="1" applyFill="1" applyBorder="1" applyAlignment="1">
      <alignment horizontal="center" wrapText="1"/>
      <protection/>
    </xf>
    <xf numFmtId="177" fontId="9" fillId="33" borderId="0" xfId="0" applyNumberFormat="1" applyFont="1" applyFill="1" applyBorder="1" applyAlignment="1">
      <alignment horizontal="center"/>
    </xf>
    <xf numFmtId="176" fontId="9" fillId="33" borderId="0" xfId="54" applyNumberFormat="1" applyFont="1" applyFill="1" applyBorder="1" applyAlignment="1">
      <alignment horizontal="center" wrapText="1"/>
      <protection/>
    </xf>
    <xf numFmtId="180" fontId="9" fillId="33" borderId="0" xfId="54" applyNumberFormat="1" applyFont="1" applyFill="1" applyBorder="1" applyAlignment="1">
      <alignment horizontal="center"/>
      <protection/>
    </xf>
    <xf numFmtId="2" fontId="6" fillId="33" borderId="0" xfId="54" applyNumberFormat="1" applyFont="1" applyFill="1" applyBorder="1" applyAlignment="1">
      <alignment/>
      <protection/>
    </xf>
    <xf numFmtId="3" fontId="8" fillId="33" borderId="0" xfId="54" applyNumberFormat="1" applyFont="1" applyFill="1" applyBorder="1" applyAlignment="1">
      <alignment horizontal="center" vertical="top" wrapText="1"/>
      <protection/>
    </xf>
    <xf numFmtId="2" fontId="5" fillId="33" borderId="0" xfId="54" applyNumberFormat="1" applyFont="1" applyFill="1" applyBorder="1" applyAlignment="1">
      <alignment horizontal="center" wrapText="1"/>
      <protection/>
    </xf>
    <xf numFmtId="2" fontId="5" fillId="33" borderId="0" xfId="54" applyNumberFormat="1" applyFont="1" applyFill="1" applyBorder="1" applyAlignment="1">
      <alignment wrapText="1"/>
      <protection/>
    </xf>
    <xf numFmtId="3" fontId="8" fillId="33" borderId="0" xfId="54" applyNumberFormat="1" applyFont="1" applyFill="1" applyBorder="1" applyAlignment="1">
      <alignment horizontal="center" wrapText="1"/>
      <protection/>
    </xf>
    <xf numFmtId="4" fontId="8" fillId="33" borderId="0" xfId="54" applyNumberFormat="1" applyFont="1" applyFill="1" applyBorder="1" applyAlignment="1">
      <alignment horizontal="center" wrapText="1"/>
      <protection/>
    </xf>
    <xf numFmtId="177" fontId="8" fillId="33" borderId="0" xfId="54" applyNumberFormat="1" applyFont="1" applyFill="1" applyBorder="1" applyAlignment="1">
      <alignment horizontal="center" wrapText="1"/>
      <protection/>
    </xf>
    <xf numFmtId="180" fontId="8" fillId="33" borderId="0" xfId="54" applyNumberFormat="1" applyFont="1" applyFill="1" applyBorder="1" applyAlignment="1">
      <alignment horizontal="center" wrapText="1"/>
      <protection/>
    </xf>
    <xf numFmtId="2" fontId="13" fillId="33" borderId="0" xfId="54" applyNumberFormat="1" applyFont="1" applyFill="1" applyBorder="1" applyAlignment="1">
      <alignment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Расчет медикаментов для бюджета" xfId="54"/>
    <cellStyle name="Обычный_Расчет медикаментов для бюджета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3"/>
  <sheetViews>
    <sheetView view="pageBreakPreview" zoomScale="70" zoomScaleNormal="71" zoomScaleSheetLayoutView="70" zoomScalePageLayoutView="0" workbookViewId="0" topLeftCell="A1">
      <pane xSplit="2" ySplit="5" topLeftCell="J3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51" sqref="L51"/>
    </sheetView>
  </sheetViews>
  <sheetFormatPr defaultColWidth="9.140625" defaultRowHeight="12.75"/>
  <cols>
    <col min="1" max="1" width="30.8515625" style="4" customWidth="1"/>
    <col min="2" max="2" width="14.8515625" style="4" customWidth="1"/>
    <col min="3" max="3" width="19.8515625" style="5" customWidth="1"/>
    <col min="4" max="4" width="21.7109375" style="5" customWidth="1"/>
    <col min="5" max="5" width="20.57421875" style="3" customWidth="1"/>
    <col min="6" max="6" width="16.7109375" style="3" customWidth="1"/>
    <col min="7" max="7" width="20.421875" style="3" customWidth="1"/>
    <col min="8" max="12" width="20.00390625" style="3" customWidth="1"/>
    <col min="13" max="13" width="16.28125" style="3" customWidth="1"/>
    <col min="14" max="14" width="21.57421875" style="3" customWidth="1"/>
    <col min="15" max="15" width="17.421875" style="3" customWidth="1"/>
    <col min="16" max="16" width="16.57421875" style="3" customWidth="1"/>
    <col min="17" max="17" width="20.140625" style="3" hidden="1" customWidth="1"/>
    <col min="18" max="18" width="21.00390625" style="3" hidden="1" customWidth="1"/>
    <col min="19" max="19" width="17.7109375" style="3" hidden="1" customWidth="1"/>
    <col min="20" max="16384" width="9.140625" style="3" customWidth="1"/>
  </cols>
  <sheetData>
    <row r="1" spans="1:16" ht="15.75">
      <c r="A1" s="157"/>
      <c r="B1" s="157"/>
      <c r="C1" s="157"/>
      <c r="D1" s="157"/>
      <c r="F1" s="21"/>
      <c r="G1" s="21"/>
      <c r="H1" s="21"/>
      <c r="I1" s="21"/>
      <c r="J1" s="21" t="s">
        <v>84</v>
      </c>
      <c r="K1" s="21"/>
      <c r="L1" s="21"/>
      <c r="M1" s="21"/>
      <c r="N1" s="21"/>
      <c r="O1" s="21"/>
      <c r="P1" s="21"/>
    </row>
    <row r="2" spans="1:16" ht="15.75" customHeight="1">
      <c r="A2" s="97"/>
      <c r="B2" s="97"/>
      <c r="C2" s="1"/>
      <c r="D2" s="1"/>
      <c r="F2" s="158"/>
      <c r="G2" s="158"/>
      <c r="H2" s="158"/>
      <c r="I2" s="95"/>
      <c r="J2" s="95"/>
      <c r="K2" s="95"/>
      <c r="L2" s="95"/>
      <c r="M2" s="158"/>
      <c r="N2" s="158"/>
      <c r="O2" s="158"/>
      <c r="P2" s="158"/>
    </row>
    <row r="3" spans="1:19" ht="62.25" customHeight="1">
      <c r="A3" s="170" t="s">
        <v>51</v>
      </c>
      <c r="B3" s="159" t="s">
        <v>50</v>
      </c>
      <c r="C3" s="162" t="s">
        <v>53</v>
      </c>
      <c r="D3" s="162"/>
      <c r="E3" s="162"/>
      <c r="F3" s="163" t="s">
        <v>82</v>
      </c>
      <c r="G3" s="163"/>
      <c r="H3" s="163"/>
      <c r="I3" s="164" t="s">
        <v>59</v>
      </c>
      <c r="J3" s="165"/>
      <c r="K3" s="166"/>
      <c r="L3" s="167" t="s">
        <v>61</v>
      </c>
      <c r="M3" s="180" t="s">
        <v>83</v>
      </c>
      <c r="N3" s="180"/>
      <c r="O3" s="180"/>
      <c r="P3" s="176" t="s">
        <v>60</v>
      </c>
      <c r="Q3" s="173" t="s">
        <v>75</v>
      </c>
      <c r="R3" s="173" t="s">
        <v>76</v>
      </c>
      <c r="S3" s="173" t="s">
        <v>74</v>
      </c>
    </row>
    <row r="4" spans="1:19" ht="117.75" customHeight="1">
      <c r="A4" s="171"/>
      <c r="B4" s="160"/>
      <c r="C4" s="177" t="s">
        <v>0</v>
      </c>
      <c r="D4" s="178"/>
      <c r="E4" s="98" t="s">
        <v>48</v>
      </c>
      <c r="F4" s="162" t="s">
        <v>0</v>
      </c>
      <c r="G4" s="162"/>
      <c r="H4" s="98" t="s">
        <v>48</v>
      </c>
      <c r="I4" s="179" t="s">
        <v>0</v>
      </c>
      <c r="J4" s="179"/>
      <c r="K4" s="94" t="s">
        <v>48</v>
      </c>
      <c r="L4" s="168"/>
      <c r="M4" s="162" t="s">
        <v>0</v>
      </c>
      <c r="N4" s="162"/>
      <c r="O4" s="98" t="s">
        <v>48</v>
      </c>
      <c r="P4" s="176"/>
      <c r="Q4" s="174"/>
      <c r="R4" s="174"/>
      <c r="S4" s="174"/>
    </row>
    <row r="5" spans="1:19" ht="125.25" customHeight="1">
      <c r="A5" s="172"/>
      <c r="B5" s="161"/>
      <c r="C5" s="104" t="s">
        <v>47</v>
      </c>
      <c r="D5" s="104" t="s">
        <v>46</v>
      </c>
      <c r="E5" s="104" t="s">
        <v>49</v>
      </c>
      <c r="F5" s="94" t="s">
        <v>47</v>
      </c>
      <c r="G5" s="94" t="s">
        <v>46</v>
      </c>
      <c r="H5" s="94" t="s">
        <v>49</v>
      </c>
      <c r="I5" s="94" t="s">
        <v>47</v>
      </c>
      <c r="J5" s="94" t="s">
        <v>46</v>
      </c>
      <c r="K5" s="94" t="s">
        <v>49</v>
      </c>
      <c r="L5" s="169"/>
      <c r="M5" s="94" t="s">
        <v>47</v>
      </c>
      <c r="N5" s="94" t="s">
        <v>46</v>
      </c>
      <c r="O5" s="94" t="s">
        <v>49</v>
      </c>
      <c r="P5" s="176"/>
      <c r="Q5" s="175"/>
      <c r="R5" s="175"/>
      <c r="S5" s="175"/>
    </row>
    <row r="6" spans="1:19" s="42" customFormat="1" ht="23.25" customHeight="1">
      <c r="A6" s="39" t="s">
        <v>1</v>
      </c>
      <c r="B6" s="26">
        <v>12</v>
      </c>
      <c r="C6" s="107"/>
      <c r="D6" s="107">
        <v>103</v>
      </c>
      <c r="E6" s="108"/>
      <c r="F6" s="43"/>
      <c r="G6" s="22">
        <v>6000</v>
      </c>
      <c r="H6" s="43"/>
      <c r="I6" s="41"/>
      <c r="J6" s="41">
        <v>1</v>
      </c>
      <c r="K6" s="41"/>
      <c r="L6" s="58">
        <v>0.41</v>
      </c>
      <c r="M6" s="44">
        <f>ROUND(C6*F6*I6*L6/1000,1)</f>
        <v>0</v>
      </c>
      <c r="N6" s="44">
        <f>ROUND(D6*G6*J6*L6/1000,1)+0.2</f>
        <v>253.6</v>
      </c>
      <c r="O6" s="44">
        <f>ROUND(E6*H6*K6*L6/1000,1)</f>
        <v>0</v>
      </c>
      <c r="P6" s="44">
        <f>SUM(M6:O6)</f>
        <v>253.6</v>
      </c>
      <c r="Q6" s="24">
        <v>4637.6</v>
      </c>
      <c r="R6" s="44">
        <f>Q6-Корректировка!C5</f>
        <v>253.60000000000036</v>
      </c>
      <c r="S6" s="44">
        <f>R6-P6</f>
        <v>3.694822225952521E-13</v>
      </c>
    </row>
    <row r="7" spans="1:19" ht="15.75">
      <c r="A7" s="6" t="s">
        <v>2</v>
      </c>
      <c r="B7" s="26">
        <v>12</v>
      </c>
      <c r="C7" s="109">
        <v>25</v>
      </c>
      <c r="D7" s="109">
        <v>104</v>
      </c>
      <c r="E7" s="110"/>
      <c r="F7" s="22">
        <v>4500</v>
      </c>
      <c r="G7" s="22">
        <v>6000</v>
      </c>
      <c r="H7" s="22"/>
      <c r="I7" s="41">
        <v>1</v>
      </c>
      <c r="J7" s="41">
        <v>1</v>
      </c>
      <c r="K7" s="41"/>
      <c r="L7" s="49">
        <v>0.438</v>
      </c>
      <c r="M7" s="24">
        <f aca="true" t="shared" si="0" ref="M7:M50">ROUND(C7*F7*I7*L7/1000,1)</f>
        <v>49.3</v>
      </c>
      <c r="N7" s="44">
        <f>ROUND(D7*G7*J7*L7/1000,1)-0.2</f>
        <v>273.1</v>
      </c>
      <c r="O7" s="24">
        <f aca="true" t="shared" si="1" ref="O7:O50">ROUND(E7*H7*K7*L7/1000,1)</f>
        <v>0</v>
      </c>
      <c r="P7" s="24">
        <f aca="true" t="shared" si="2" ref="P7:P50">SUM(M7:O7)</f>
        <v>322.40000000000003</v>
      </c>
      <c r="Q7" s="24">
        <v>6056.1</v>
      </c>
      <c r="R7" s="44">
        <f>Q7-Корректировка!C6</f>
        <v>322.39999999999964</v>
      </c>
      <c r="S7" s="44">
        <f aca="true" t="shared" si="3" ref="S7:S50">R7-P7</f>
        <v>0</v>
      </c>
    </row>
    <row r="8" spans="1:19" ht="15.75">
      <c r="A8" s="6" t="s">
        <v>3</v>
      </c>
      <c r="B8" s="26">
        <v>12</v>
      </c>
      <c r="C8" s="109">
        <v>20</v>
      </c>
      <c r="D8" s="109">
        <v>122</v>
      </c>
      <c r="E8" s="108"/>
      <c r="F8" s="22">
        <v>4500</v>
      </c>
      <c r="G8" s="22">
        <v>6000</v>
      </c>
      <c r="H8" s="22"/>
      <c r="I8" s="41">
        <v>1</v>
      </c>
      <c r="J8" s="41">
        <v>1.02</v>
      </c>
      <c r="K8" s="41"/>
      <c r="L8" s="49">
        <v>0.428</v>
      </c>
      <c r="M8" s="24">
        <f t="shared" si="0"/>
        <v>38.5</v>
      </c>
      <c r="N8" s="44">
        <f>ROUND(D8*G8*J8*L8/1000,1)-0.2</f>
        <v>319.40000000000003</v>
      </c>
      <c r="O8" s="24">
        <f t="shared" si="1"/>
        <v>0</v>
      </c>
      <c r="P8" s="24">
        <f t="shared" si="2"/>
        <v>357.90000000000003</v>
      </c>
      <c r="Q8" s="24">
        <v>7317.6</v>
      </c>
      <c r="R8" s="44">
        <f>Q8-Корректировка!C7</f>
        <v>357.90000000000055</v>
      </c>
      <c r="S8" s="44">
        <f t="shared" si="3"/>
        <v>5.115907697472721E-13</v>
      </c>
    </row>
    <row r="9" spans="1:19" ht="15.75">
      <c r="A9" s="6" t="s">
        <v>4</v>
      </c>
      <c r="B9" s="26">
        <v>12</v>
      </c>
      <c r="C9" s="109">
        <v>45</v>
      </c>
      <c r="D9" s="109">
        <v>155</v>
      </c>
      <c r="E9" s="108">
        <v>43</v>
      </c>
      <c r="F9" s="22">
        <v>4500</v>
      </c>
      <c r="G9" s="22">
        <v>6000</v>
      </c>
      <c r="H9" s="22">
        <v>6000</v>
      </c>
      <c r="I9" s="41">
        <v>1</v>
      </c>
      <c r="J9" s="41">
        <v>1</v>
      </c>
      <c r="K9" s="41">
        <v>1.05</v>
      </c>
      <c r="L9" s="49">
        <v>0.522</v>
      </c>
      <c r="M9" s="24">
        <f t="shared" si="0"/>
        <v>105.7</v>
      </c>
      <c r="N9" s="44">
        <f>ROUND(D9*G9*J9*L9/1000,1)+0.9</f>
        <v>486.4</v>
      </c>
      <c r="O9" s="24">
        <f t="shared" si="1"/>
        <v>141.4</v>
      </c>
      <c r="P9" s="24">
        <f t="shared" si="2"/>
        <v>733.5</v>
      </c>
      <c r="Q9" s="24">
        <v>15443.4</v>
      </c>
      <c r="R9" s="44">
        <f>Q9-Корректировка!C8</f>
        <v>733.5</v>
      </c>
      <c r="S9" s="44">
        <f t="shared" si="3"/>
        <v>0</v>
      </c>
    </row>
    <row r="10" spans="1:19" ht="15.75">
      <c r="A10" s="6" t="s">
        <v>5</v>
      </c>
      <c r="B10" s="26">
        <v>12</v>
      </c>
      <c r="C10" s="109">
        <v>75</v>
      </c>
      <c r="D10" s="109">
        <v>173</v>
      </c>
      <c r="E10" s="108">
        <v>28</v>
      </c>
      <c r="F10" s="22">
        <v>4500</v>
      </c>
      <c r="G10" s="22">
        <v>6000</v>
      </c>
      <c r="H10" s="22">
        <v>6000</v>
      </c>
      <c r="I10" s="41">
        <v>1</v>
      </c>
      <c r="J10" s="41">
        <v>1.01</v>
      </c>
      <c r="K10" s="41">
        <v>1.07</v>
      </c>
      <c r="L10" s="49">
        <v>0.479</v>
      </c>
      <c r="M10" s="24">
        <f t="shared" si="0"/>
        <v>161.7</v>
      </c>
      <c r="N10" s="44">
        <f>ROUND(D10*G10*J10*L10/1000,1)-0.5</f>
        <v>501.7</v>
      </c>
      <c r="O10" s="24">
        <f t="shared" si="1"/>
        <v>86.1</v>
      </c>
      <c r="P10" s="24">
        <f t="shared" si="2"/>
        <v>749.5</v>
      </c>
      <c r="Q10" s="24">
        <v>15940.1</v>
      </c>
      <c r="R10" s="44">
        <f>Q10-Корректировка!C9</f>
        <v>749.5</v>
      </c>
      <c r="S10" s="44">
        <f t="shared" si="3"/>
        <v>0</v>
      </c>
    </row>
    <row r="11" spans="1:19" ht="15.75">
      <c r="A11" s="6" t="s">
        <v>6</v>
      </c>
      <c r="B11" s="26">
        <v>12</v>
      </c>
      <c r="C11" s="109"/>
      <c r="D11" s="109">
        <v>160</v>
      </c>
      <c r="E11" s="110"/>
      <c r="F11" s="22"/>
      <c r="G11" s="22">
        <v>6000</v>
      </c>
      <c r="H11" s="22"/>
      <c r="I11" s="41"/>
      <c r="J11" s="41">
        <v>1</v>
      </c>
      <c r="K11" s="41"/>
      <c r="L11" s="49">
        <v>0.37</v>
      </c>
      <c r="M11" s="24">
        <f t="shared" si="0"/>
        <v>0</v>
      </c>
      <c r="N11" s="44">
        <f>ROUND(D11*G11*J11*L11/1000,1)+0.8</f>
        <v>356</v>
      </c>
      <c r="O11" s="24">
        <f t="shared" si="1"/>
        <v>0</v>
      </c>
      <c r="P11" s="24">
        <f t="shared" si="2"/>
        <v>356</v>
      </c>
      <c r="Q11" s="24">
        <v>7240.5</v>
      </c>
      <c r="R11" s="44">
        <f>Q11-Корректировка!C10</f>
        <v>356</v>
      </c>
      <c r="S11" s="44">
        <f t="shared" si="3"/>
        <v>0</v>
      </c>
    </row>
    <row r="12" spans="1:19" ht="15.75">
      <c r="A12" s="6" t="s">
        <v>7</v>
      </c>
      <c r="B12" s="26">
        <v>12</v>
      </c>
      <c r="C12" s="109">
        <v>25</v>
      </c>
      <c r="D12" s="109">
        <v>190</v>
      </c>
      <c r="E12" s="108">
        <v>45</v>
      </c>
      <c r="F12" s="22">
        <v>4500</v>
      </c>
      <c r="G12" s="22">
        <v>6000</v>
      </c>
      <c r="H12" s="22">
        <v>6000</v>
      </c>
      <c r="I12" s="41">
        <v>1</v>
      </c>
      <c r="J12" s="41">
        <v>1.05</v>
      </c>
      <c r="K12" s="41">
        <v>1</v>
      </c>
      <c r="L12" s="49">
        <v>0.51</v>
      </c>
      <c r="M12" s="24">
        <f t="shared" si="0"/>
        <v>57.4</v>
      </c>
      <c r="N12" s="44">
        <f>ROUND(D12*G12*J12*L12/1000,1)+0.2</f>
        <v>610.7</v>
      </c>
      <c r="O12" s="24">
        <f t="shared" si="1"/>
        <v>137.7</v>
      </c>
      <c r="P12" s="24">
        <f t="shared" si="2"/>
        <v>805.8</v>
      </c>
      <c r="Q12" s="24">
        <v>16926.3</v>
      </c>
      <c r="R12" s="44">
        <f>Q12-Корректировка!C11</f>
        <v>805.7999999999993</v>
      </c>
      <c r="S12" s="44">
        <f t="shared" si="3"/>
        <v>0</v>
      </c>
    </row>
    <row r="13" spans="1:19" ht="15.75">
      <c r="A13" s="6" t="s">
        <v>8</v>
      </c>
      <c r="B13" s="26">
        <v>12</v>
      </c>
      <c r="C13" s="109">
        <v>44</v>
      </c>
      <c r="D13" s="109">
        <v>181</v>
      </c>
      <c r="E13" s="108">
        <v>45</v>
      </c>
      <c r="F13" s="22">
        <v>4500</v>
      </c>
      <c r="G13" s="22">
        <v>6000</v>
      </c>
      <c r="H13" s="22">
        <v>6000</v>
      </c>
      <c r="I13" s="41">
        <v>1</v>
      </c>
      <c r="J13" s="41">
        <v>1</v>
      </c>
      <c r="K13" s="41">
        <v>1</v>
      </c>
      <c r="L13" s="49">
        <v>0.509</v>
      </c>
      <c r="M13" s="24">
        <f>ROUND(C13*F13*I13*L13/1000,1)-0.4</f>
        <v>100.39999999999999</v>
      </c>
      <c r="N13" s="44">
        <f>ROUND(D13*G13*J13*L13/1000,1)</f>
        <v>552.8</v>
      </c>
      <c r="O13" s="24">
        <f t="shared" si="1"/>
        <v>137.4</v>
      </c>
      <c r="P13" s="24">
        <f t="shared" si="2"/>
        <v>790.5999999999999</v>
      </c>
      <c r="Q13" s="24">
        <v>16603.9</v>
      </c>
      <c r="R13" s="44">
        <f>Q13-Корректировка!C12</f>
        <v>790.6000000000022</v>
      </c>
      <c r="S13" s="44">
        <f t="shared" si="3"/>
        <v>2.2737367544323206E-12</v>
      </c>
    </row>
    <row r="14" spans="1:19" ht="15.75">
      <c r="A14" s="6" t="s">
        <v>9</v>
      </c>
      <c r="B14" s="26">
        <v>12</v>
      </c>
      <c r="C14" s="109">
        <v>41</v>
      </c>
      <c r="D14" s="109">
        <v>145</v>
      </c>
      <c r="E14" s="108">
        <v>37</v>
      </c>
      <c r="F14" s="22">
        <v>4500</v>
      </c>
      <c r="G14" s="22">
        <v>6000</v>
      </c>
      <c r="H14" s="22">
        <v>6000</v>
      </c>
      <c r="I14" s="41">
        <v>1</v>
      </c>
      <c r="J14" s="41">
        <v>1.03</v>
      </c>
      <c r="K14" s="41">
        <v>1</v>
      </c>
      <c r="L14" s="49">
        <v>0.523</v>
      </c>
      <c r="M14" s="24">
        <f t="shared" si="0"/>
        <v>96.5</v>
      </c>
      <c r="N14" s="44">
        <f>ROUND(D14*G14*J14*L14/1000,1)+0.2</f>
        <v>468.9</v>
      </c>
      <c r="O14" s="24">
        <f t="shared" si="1"/>
        <v>116.1</v>
      </c>
      <c r="P14" s="24">
        <f t="shared" si="2"/>
        <v>681.5</v>
      </c>
      <c r="Q14" s="24">
        <v>14683.3</v>
      </c>
      <c r="R14" s="44">
        <f>Q14-Корректировка!C13</f>
        <v>681.5</v>
      </c>
      <c r="S14" s="44">
        <f t="shared" si="3"/>
        <v>0</v>
      </c>
    </row>
    <row r="15" spans="1:19" ht="15.75">
      <c r="A15" s="6" t="s">
        <v>10</v>
      </c>
      <c r="B15" s="26">
        <v>12</v>
      </c>
      <c r="C15" s="109">
        <v>45</v>
      </c>
      <c r="D15" s="109">
        <v>159</v>
      </c>
      <c r="E15" s="108">
        <v>30</v>
      </c>
      <c r="F15" s="22">
        <v>4500</v>
      </c>
      <c r="G15" s="22">
        <v>6000</v>
      </c>
      <c r="H15" s="22">
        <v>6000</v>
      </c>
      <c r="I15" s="41">
        <v>1</v>
      </c>
      <c r="J15" s="41">
        <v>1</v>
      </c>
      <c r="K15" s="41">
        <v>1</v>
      </c>
      <c r="L15" s="49">
        <v>0.52</v>
      </c>
      <c r="M15" s="24">
        <f t="shared" si="0"/>
        <v>105.3</v>
      </c>
      <c r="N15" s="44">
        <f>ROUND(D15*G15*J15*L15/1000,1)+0.6</f>
        <v>496.70000000000005</v>
      </c>
      <c r="O15" s="24">
        <f t="shared" si="1"/>
        <v>93.6</v>
      </c>
      <c r="P15" s="24">
        <f t="shared" si="2"/>
        <v>695.6</v>
      </c>
      <c r="Q15" s="24">
        <v>14558.3</v>
      </c>
      <c r="R15" s="44">
        <f>Q15-Корректировка!C14</f>
        <v>695.5999999999985</v>
      </c>
      <c r="S15" s="44">
        <f t="shared" si="3"/>
        <v>-1.4779288903810084E-12</v>
      </c>
    </row>
    <row r="16" spans="1:19" ht="15.75">
      <c r="A16" s="7" t="s">
        <v>11</v>
      </c>
      <c r="B16" s="26">
        <v>12</v>
      </c>
      <c r="C16" s="111">
        <v>22</v>
      </c>
      <c r="D16" s="111">
        <v>51</v>
      </c>
      <c r="E16" s="112">
        <v>16</v>
      </c>
      <c r="F16" s="22">
        <v>4500</v>
      </c>
      <c r="G16" s="22">
        <v>6000</v>
      </c>
      <c r="H16" s="22">
        <v>6000</v>
      </c>
      <c r="I16" s="41">
        <v>1</v>
      </c>
      <c r="J16" s="41">
        <v>1</v>
      </c>
      <c r="K16" s="41">
        <v>1</v>
      </c>
      <c r="L16" s="49">
        <v>0.625</v>
      </c>
      <c r="M16" s="24">
        <f t="shared" si="0"/>
        <v>61.9</v>
      </c>
      <c r="N16" s="44">
        <f>ROUND(D16*G16*J16*L16/1000,1)-0.3</f>
        <v>191</v>
      </c>
      <c r="O16" s="24">
        <f t="shared" si="1"/>
        <v>60</v>
      </c>
      <c r="P16" s="24">
        <f t="shared" si="2"/>
        <v>312.9</v>
      </c>
      <c r="Q16" s="24">
        <v>5986.7</v>
      </c>
      <c r="R16" s="44">
        <f>Q16-Корректировка!C15</f>
        <v>312.89999999999964</v>
      </c>
      <c r="S16" s="44">
        <f t="shared" si="3"/>
        <v>0</v>
      </c>
    </row>
    <row r="17" spans="1:19" ht="15.75">
      <c r="A17" s="6" t="s">
        <v>25</v>
      </c>
      <c r="B17" s="27">
        <v>10</v>
      </c>
      <c r="C17" s="109"/>
      <c r="D17" s="109">
        <v>26</v>
      </c>
      <c r="E17" s="110"/>
      <c r="F17" s="22"/>
      <c r="G17" s="22">
        <v>6000</v>
      </c>
      <c r="H17" s="22"/>
      <c r="I17" s="41"/>
      <c r="J17" s="41">
        <v>1</v>
      </c>
      <c r="K17" s="41"/>
      <c r="L17" s="49">
        <v>0.435</v>
      </c>
      <c r="M17" s="24">
        <f t="shared" si="0"/>
        <v>0</v>
      </c>
      <c r="N17" s="44">
        <f>ROUND(D17*G17*J17*L17/1000,1)</f>
        <v>67.9</v>
      </c>
      <c r="O17" s="24">
        <f t="shared" si="1"/>
        <v>0</v>
      </c>
      <c r="P17" s="24">
        <f t="shared" si="2"/>
        <v>67.9</v>
      </c>
      <c r="Q17" s="24">
        <v>1318.2</v>
      </c>
      <c r="R17" s="44">
        <f>Q17-Корректировка!C16</f>
        <v>67.89999999999986</v>
      </c>
      <c r="S17" s="44">
        <f t="shared" si="3"/>
        <v>-1.4210854715202004E-13</v>
      </c>
    </row>
    <row r="18" spans="1:19" ht="15.75">
      <c r="A18" s="6" t="s">
        <v>24</v>
      </c>
      <c r="B18" s="27">
        <v>10</v>
      </c>
      <c r="C18" s="109"/>
      <c r="D18" s="109">
        <v>25</v>
      </c>
      <c r="E18" s="108"/>
      <c r="F18" s="22"/>
      <c r="G18" s="22">
        <v>6000</v>
      </c>
      <c r="H18" s="22"/>
      <c r="I18" s="41"/>
      <c r="J18" s="41">
        <v>1</v>
      </c>
      <c r="K18" s="41"/>
      <c r="L18" s="49">
        <v>0.579</v>
      </c>
      <c r="M18" s="24">
        <f t="shared" si="0"/>
        <v>0</v>
      </c>
      <c r="N18" s="44">
        <f>ROUND(D18*G18*J18*L18/1000,1)+0.5</f>
        <v>87.4</v>
      </c>
      <c r="O18" s="24">
        <f t="shared" si="1"/>
        <v>0</v>
      </c>
      <c r="P18" s="24">
        <f t="shared" si="2"/>
        <v>87.4</v>
      </c>
      <c r="Q18" s="24">
        <v>1712.8</v>
      </c>
      <c r="R18" s="44">
        <f>Q18-Корректировка!C17</f>
        <v>87.39999999999986</v>
      </c>
      <c r="S18" s="44">
        <f t="shared" si="3"/>
        <v>-1.4210854715202004E-13</v>
      </c>
    </row>
    <row r="19" spans="1:19" ht="15.75">
      <c r="A19" s="6" t="s">
        <v>12</v>
      </c>
      <c r="B19" s="27">
        <v>10</v>
      </c>
      <c r="C19" s="109"/>
      <c r="D19" s="109">
        <v>86</v>
      </c>
      <c r="E19" s="108"/>
      <c r="F19" s="22"/>
      <c r="G19" s="22">
        <v>6000</v>
      </c>
      <c r="H19" s="22"/>
      <c r="I19" s="41"/>
      <c r="J19" s="41">
        <v>1</v>
      </c>
      <c r="K19" s="41"/>
      <c r="L19" s="49">
        <v>0.299</v>
      </c>
      <c r="M19" s="24">
        <f t="shared" si="0"/>
        <v>0</v>
      </c>
      <c r="N19" s="44">
        <f>ROUND(D19*G19*J19*L19/1000,1)</f>
        <v>154.3</v>
      </c>
      <c r="O19" s="24">
        <f t="shared" si="1"/>
        <v>0</v>
      </c>
      <c r="P19" s="24">
        <f t="shared" si="2"/>
        <v>154.3</v>
      </c>
      <c r="Q19" s="24">
        <v>3222.6</v>
      </c>
      <c r="R19" s="44">
        <f>Q19-Корректировка!C18</f>
        <v>154.29999999999973</v>
      </c>
      <c r="S19" s="44">
        <f t="shared" si="3"/>
        <v>-2.8421709430404007E-13</v>
      </c>
    </row>
    <row r="20" spans="1:19" ht="15.75">
      <c r="A20" s="6" t="s">
        <v>13</v>
      </c>
      <c r="B20" s="27">
        <v>10</v>
      </c>
      <c r="C20" s="109"/>
      <c r="D20" s="109">
        <v>45</v>
      </c>
      <c r="E20" s="108"/>
      <c r="F20" s="22"/>
      <c r="G20" s="22">
        <v>6000</v>
      </c>
      <c r="H20" s="22"/>
      <c r="I20" s="41"/>
      <c r="J20" s="41">
        <v>1.11</v>
      </c>
      <c r="K20" s="41"/>
      <c r="L20" s="49">
        <v>0.369</v>
      </c>
      <c r="M20" s="24">
        <f t="shared" si="0"/>
        <v>0</v>
      </c>
      <c r="N20" s="44">
        <f>ROUND(D20*G20*J20*L20/1000,1)+0.3</f>
        <v>110.89999999999999</v>
      </c>
      <c r="O20" s="24">
        <f t="shared" si="1"/>
        <v>0</v>
      </c>
      <c r="P20" s="24">
        <f t="shared" si="2"/>
        <v>110.89999999999999</v>
      </c>
      <c r="Q20" s="24">
        <v>2357.3</v>
      </c>
      <c r="R20" s="44">
        <f>Q20-Корректировка!C19</f>
        <v>110.90000000000009</v>
      </c>
      <c r="S20" s="44">
        <f t="shared" si="3"/>
        <v>0</v>
      </c>
    </row>
    <row r="21" spans="1:19" ht="15.75">
      <c r="A21" s="6" t="s">
        <v>14</v>
      </c>
      <c r="B21" s="27">
        <v>10</v>
      </c>
      <c r="C21" s="109"/>
      <c r="D21" s="109">
        <v>50</v>
      </c>
      <c r="E21" s="108"/>
      <c r="F21" s="22"/>
      <c r="G21" s="22">
        <v>6000</v>
      </c>
      <c r="H21" s="22"/>
      <c r="I21" s="41"/>
      <c r="J21" s="41">
        <v>1</v>
      </c>
      <c r="K21" s="41"/>
      <c r="L21" s="49">
        <v>0.385</v>
      </c>
      <c r="M21" s="24">
        <f t="shared" si="0"/>
        <v>0</v>
      </c>
      <c r="N21" s="44">
        <f>ROUND(D21*G21*J21*L21/1000,1)-0.1</f>
        <v>115.4</v>
      </c>
      <c r="O21" s="24">
        <f t="shared" si="1"/>
        <v>0</v>
      </c>
      <c r="P21" s="24">
        <f t="shared" si="2"/>
        <v>115.4</v>
      </c>
      <c r="Q21" s="24">
        <v>2254.4</v>
      </c>
      <c r="R21" s="44">
        <f>Q21-Корректировка!C20</f>
        <v>115.40000000000009</v>
      </c>
      <c r="S21" s="44">
        <f t="shared" si="3"/>
        <v>0</v>
      </c>
    </row>
    <row r="22" spans="1:19" s="8" customFormat="1" ht="16.5" customHeight="1">
      <c r="A22" s="7" t="s">
        <v>15</v>
      </c>
      <c r="B22" s="28">
        <v>10</v>
      </c>
      <c r="C22" s="109"/>
      <c r="D22" s="109">
        <v>64</v>
      </c>
      <c r="E22" s="108"/>
      <c r="F22" s="22"/>
      <c r="G22" s="22">
        <v>6000</v>
      </c>
      <c r="H22" s="23"/>
      <c r="I22" s="41"/>
      <c r="J22" s="41">
        <v>1</v>
      </c>
      <c r="K22" s="41"/>
      <c r="L22" s="49">
        <v>0.32</v>
      </c>
      <c r="M22" s="24">
        <f t="shared" si="0"/>
        <v>0</v>
      </c>
      <c r="N22" s="44">
        <f>ROUND(D22*G22*J22*L22/1000,1)</f>
        <v>122.9</v>
      </c>
      <c r="O22" s="24">
        <f t="shared" si="1"/>
        <v>0</v>
      </c>
      <c r="P22" s="24">
        <f t="shared" si="2"/>
        <v>122.9</v>
      </c>
      <c r="Q22" s="24">
        <v>2421.2</v>
      </c>
      <c r="R22" s="44">
        <f>Q22-Корректировка!C21</f>
        <v>122.89999999999964</v>
      </c>
      <c r="S22" s="44">
        <f t="shared" si="3"/>
        <v>-3.694822225952521E-13</v>
      </c>
    </row>
    <row r="23" spans="1:19" ht="19.5" customHeight="1">
      <c r="A23" s="6" t="s">
        <v>26</v>
      </c>
      <c r="B23" s="27">
        <v>9</v>
      </c>
      <c r="C23" s="109"/>
      <c r="D23" s="109">
        <v>18</v>
      </c>
      <c r="E23" s="113"/>
      <c r="F23" s="22"/>
      <c r="G23" s="22">
        <v>6000</v>
      </c>
      <c r="H23" s="22"/>
      <c r="I23" s="41"/>
      <c r="J23" s="41">
        <v>1.39</v>
      </c>
      <c r="K23" s="41"/>
      <c r="L23" s="49">
        <v>0.402</v>
      </c>
      <c r="M23" s="24">
        <f t="shared" si="0"/>
        <v>0</v>
      </c>
      <c r="N23" s="44">
        <f>ROUND(D23*G23*J23*L23/1000,1)+0.6</f>
        <v>60.9</v>
      </c>
      <c r="O23" s="24">
        <f t="shared" si="1"/>
        <v>0</v>
      </c>
      <c r="P23" s="24">
        <f t="shared" si="2"/>
        <v>60.9</v>
      </c>
      <c r="Q23" s="24">
        <v>1199.2</v>
      </c>
      <c r="R23" s="44">
        <f>Q23-Корректировка!C22</f>
        <v>60.899999999999864</v>
      </c>
      <c r="S23" s="44">
        <f t="shared" si="3"/>
        <v>-1.3500311979441904E-13</v>
      </c>
    </row>
    <row r="24" spans="1:19" ht="19.5" customHeight="1">
      <c r="A24" s="6" t="s">
        <v>27</v>
      </c>
      <c r="B24" s="27">
        <v>9</v>
      </c>
      <c r="C24" s="109"/>
      <c r="D24" s="109">
        <v>8</v>
      </c>
      <c r="E24" s="108"/>
      <c r="F24" s="22"/>
      <c r="G24" s="22">
        <v>6000</v>
      </c>
      <c r="H24" s="22"/>
      <c r="I24" s="41"/>
      <c r="J24" s="41">
        <v>3.12</v>
      </c>
      <c r="K24" s="41"/>
      <c r="L24" s="49">
        <v>0.38</v>
      </c>
      <c r="M24" s="24">
        <f t="shared" si="0"/>
        <v>0</v>
      </c>
      <c r="N24" s="44">
        <f>ROUND(D24*G24*J24*L24/1000,1)-0.8</f>
        <v>56.1</v>
      </c>
      <c r="O24" s="24">
        <f t="shared" si="1"/>
        <v>0</v>
      </c>
      <c r="P24" s="24">
        <f t="shared" si="2"/>
        <v>56.1</v>
      </c>
      <c r="Q24" s="24">
        <v>1173.2</v>
      </c>
      <c r="R24" s="44">
        <f>Q24-Корректировка!C23</f>
        <v>56.09999999999991</v>
      </c>
      <c r="S24" s="44">
        <f t="shared" si="3"/>
        <v>-9.237055564881302E-14</v>
      </c>
    </row>
    <row r="25" spans="1:19" ht="19.5" customHeight="1">
      <c r="A25" s="6" t="s">
        <v>28</v>
      </c>
      <c r="B25" s="27">
        <v>9</v>
      </c>
      <c r="C25" s="109"/>
      <c r="D25" s="109">
        <v>12</v>
      </c>
      <c r="E25" s="108"/>
      <c r="F25" s="22"/>
      <c r="G25" s="22">
        <v>6000</v>
      </c>
      <c r="H25" s="22"/>
      <c r="I25" s="41"/>
      <c r="J25" s="41">
        <v>2.08</v>
      </c>
      <c r="K25" s="41"/>
      <c r="L25" s="49">
        <v>0.416</v>
      </c>
      <c r="M25" s="24">
        <f t="shared" si="0"/>
        <v>0</v>
      </c>
      <c r="N25" s="44">
        <f>ROUND(D25*G25*J25*L25/1000,1)+0.9</f>
        <v>63.199999999999996</v>
      </c>
      <c r="O25" s="24">
        <f t="shared" si="1"/>
        <v>0</v>
      </c>
      <c r="P25" s="24">
        <f t="shared" si="2"/>
        <v>63.199999999999996</v>
      </c>
      <c r="Q25" s="24">
        <v>1206.6</v>
      </c>
      <c r="R25" s="44">
        <f>Q25-Корректировка!C24</f>
        <v>63.200000000000045</v>
      </c>
      <c r="S25" s="44">
        <f t="shared" si="3"/>
        <v>0</v>
      </c>
    </row>
    <row r="26" spans="1:19" ht="27.75" customHeight="1">
      <c r="A26" s="6" t="s">
        <v>29</v>
      </c>
      <c r="B26" s="27">
        <v>10</v>
      </c>
      <c r="C26" s="109"/>
      <c r="D26" s="109">
        <v>27</v>
      </c>
      <c r="E26" s="108"/>
      <c r="F26" s="22"/>
      <c r="G26" s="22">
        <v>6000</v>
      </c>
      <c r="H26" s="22"/>
      <c r="I26" s="41"/>
      <c r="J26" s="41">
        <v>1</v>
      </c>
      <c r="K26" s="41"/>
      <c r="L26" s="49">
        <v>0.418</v>
      </c>
      <c r="M26" s="24">
        <f t="shared" si="0"/>
        <v>0</v>
      </c>
      <c r="N26" s="44">
        <f>ROUND(D26*G26*J26*L26/1000,1)+0.4</f>
        <v>68.10000000000001</v>
      </c>
      <c r="O26" s="24">
        <f t="shared" si="1"/>
        <v>0</v>
      </c>
      <c r="P26" s="24">
        <f t="shared" si="2"/>
        <v>68.10000000000001</v>
      </c>
      <c r="Q26" s="24">
        <v>1315</v>
      </c>
      <c r="R26" s="44">
        <f>Q26-Корректировка!C25</f>
        <v>68.09999999999991</v>
      </c>
      <c r="S26" s="44">
        <f t="shared" si="3"/>
        <v>0</v>
      </c>
    </row>
    <row r="27" spans="1:19" ht="22.5" customHeight="1">
      <c r="A27" s="6" t="s">
        <v>16</v>
      </c>
      <c r="B27" s="29">
        <v>10</v>
      </c>
      <c r="C27" s="107"/>
      <c r="D27" s="107">
        <v>95</v>
      </c>
      <c r="E27" s="108"/>
      <c r="F27" s="22"/>
      <c r="G27" s="22">
        <v>6000</v>
      </c>
      <c r="H27" s="22"/>
      <c r="I27" s="41"/>
      <c r="J27" s="41">
        <v>1.05</v>
      </c>
      <c r="K27" s="41"/>
      <c r="L27" s="49">
        <v>0.349</v>
      </c>
      <c r="M27" s="24">
        <f t="shared" si="0"/>
        <v>0</v>
      </c>
      <c r="N27" s="44">
        <f>ROUND(D27*G27*J27*L27/1000,1)+0.5</f>
        <v>209.4</v>
      </c>
      <c r="O27" s="24">
        <f t="shared" si="1"/>
        <v>0</v>
      </c>
      <c r="P27" s="24">
        <f t="shared" si="2"/>
        <v>209.4</v>
      </c>
      <c r="Q27" s="24">
        <v>4396</v>
      </c>
      <c r="R27" s="44">
        <f>Q27-Корректировка!C26</f>
        <v>209.40000000000055</v>
      </c>
      <c r="S27" s="44">
        <f t="shared" si="3"/>
        <v>5.400124791776761E-13</v>
      </c>
    </row>
    <row r="28" spans="1:19" ht="18.75" customHeight="1">
      <c r="A28" s="6" t="s">
        <v>17</v>
      </c>
      <c r="B28" s="27">
        <v>10</v>
      </c>
      <c r="C28" s="109"/>
      <c r="D28" s="109">
        <v>74</v>
      </c>
      <c r="E28" s="108">
        <v>17</v>
      </c>
      <c r="F28" s="22"/>
      <c r="G28" s="22">
        <v>6000</v>
      </c>
      <c r="H28" s="22">
        <v>6000</v>
      </c>
      <c r="I28" s="41"/>
      <c r="J28" s="41">
        <v>1.01</v>
      </c>
      <c r="K28" s="41">
        <v>1</v>
      </c>
      <c r="L28" s="49">
        <v>0.489</v>
      </c>
      <c r="M28" s="24">
        <f t="shared" si="0"/>
        <v>0</v>
      </c>
      <c r="N28" s="44">
        <f>ROUND(D28*G28*J28*L28/1000,1)+0.6</f>
        <v>219.9</v>
      </c>
      <c r="O28" s="24">
        <f t="shared" si="1"/>
        <v>49.9</v>
      </c>
      <c r="P28" s="24">
        <f t="shared" si="2"/>
        <v>269.8</v>
      </c>
      <c r="Q28" s="24">
        <v>5624.4</v>
      </c>
      <c r="R28" s="44">
        <f>Q28-Корректировка!C27</f>
        <v>269.8000000000002</v>
      </c>
      <c r="S28" s="44">
        <f t="shared" si="3"/>
        <v>0</v>
      </c>
    </row>
    <row r="29" spans="1:19" s="8" customFormat="1" ht="25.5" customHeight="1">
      <c r="A29" s="7" t="s">
        <v>18</v>
      </c>
      <c r="B29" s="28">
        <v>10</v>
      </c>
      <c r="C29" s="109">
        <v>21</v>
      </c>
      <c r="D29" s="109">
        <v>52</v>
      </c>
      <c r="E29" s="113">
        <v>44</v>
      </c>
      <c r="F29" s="22">
        <v>4500</v>
      </c>
      <c r="G29" s="22">
        <v>6000</v>
      </c>
      <c r="H29" s="22">
        <v>6000</v>
      </c>
      <c r="I29" s="41">
        <v>1</v>
      </c>
      <c r="J29" s="41">
        <v>1</v>
      </c>
      <c r="K29" s="41">
        <v>1</v>
      </c>
      <c r="L29" s="49">
        <v>0.505</v>
      </c>
      <c r="M29" s="24">
        <f t="shared" si="0"/>
        <v>47.7</v>
      </c>
      <c r="N29" s="44">
        <f>ROUND(D29*G29*J29*L29/1000,1)-0.3</f>
        <v>157.29999999999998</v>
      </c>
      <c r="O29" s="24">
        <f t="shared" si="1"/>
        <v>133.3</v>
      </c>
      <c r="P29" s="24">
        <f t="shared" si="2"/>
        <v>338.3</v>
      </c>
      <c r="Q29" s="24">
        <v>7291.6</v>
      </c>
      <c r="R29" s="44">
        <f>Q29-Корректировка!C28</f>
        <v>338.3000000000002</v>
      </c>
      <c r="S29" s="44">
        <f t="shared" si="3"/>
        <v>0</v>
      </c>
    </row>
    <row r="30" spans="1:19" ht="15.75">
      <c r="A30" s="6" t="s">
        <v>19</v>
      </c>
      <c r="B30" s="27">
        <v>10</v>
      </c>
      <c r="C30" s="109">
        <v>18</v>
      </c>
      <c r="D30" s="109">
        <v>119</v>
      </c>
      <c r="E30" s="110"/>
      <c r="F30" s="22">
        <v>4500</v>
      </c>
      <c r="G30" s="22">
        <v>6000</v>
      </c>
      <c r="H30" s="22"/>
      <c r="I30" s="41">
        <v>1.11</v>
      </c>
      <c r="J30" s="41">
        <v>1</v>
      </c>
      <c r="K30" s="41"/>
      <c r="L30" s="49">
        <v>0.301</v>
      </c>
      <c r="M30" s="24">
        <f t="shared" si="0"/>
        <v>27.1</v>
      </c>
      <c r="N30" s="44">
        <f>ROUND(D30*G30*J30*L30/1000,1)+0.5</f>
        <v>215.4</v>
      </c>
      <c r="O30" s="24">
        <f t="shared" si="1"/>
        <v>0</v>
      </c>
      <c r="P30" s="24">
        <f t="shared" si="2"/>
        <v>242.5</v>
      </c>
      <c r="Q30" s="24">
        <v>5040</v>
      </c>
      <c r="R30" s="44">
        <f>Q30-Корректировка!C29</f>
        <v>242.5</v>
      </c>
      <c r="S30" s="44">
        <f t="shared" si="3"/>
        <v>0</v>
      </c>
    </row>
    <row r="31" spans="1:19" ht="15.75">
      <c r="A31" s="6" t="s">
        <v>20</v>
      </c>
      <c r="B31" s="27">
        <v>10</v>
      </c>
      <c r="C31" s="109">
        <v>24</v>
      </c>
      <c r="D31" s="109">
        <v>112</v>
      </c>
      <c r="E31" s="110"/>
      <c r="F31" s="22">
        <v>4500</v>
      </c>
      <c r="G31" s="22">
        <v>6000</v>
      </c>
      <c r="H31" s="22"/>
      <c r="I31" s="41">
        <v>1</v>
      </c>
      <c r="J31" s="41">
        <v>1.12</v>
      </c>
      <c r="K31" s="41"/>
      <c r="L31" s="49">
        <v>0.312</v>
      </c>
      <c r="M31" s="24">
        <f t="shared" si="0"/>
        <v>33.7</v>
      </c>
      <c r="N31" s="44">
        <f>ROUND(D31*G31*J31*L31/1000,1)+0.7</f>
        <v>235.5</v>
      </c>
      <c r="O31" s="24">
        <f t="shared" si="1"/>
        <v>0</v>
      </c>
      <c r="P31" s="24">
        <f t="shared" si="2"/>
        <v>269.2</v>
      </c>
      <c r="Q31" s="24">
        <v>5863.5</v>
      </c>
      <c r="R31" s="44">
        <f>Q31-Корректировка!C30</f>
        <v>269.1999999999998</v>
      </c>
      <c r="S31" s="44">
        <f t="shared" si="3"/>
        <v>0</v>
      </c>
    </row>
    <row r="32" spans="1:19" ht="20.25" customHeight="1">
      <c r="A32" s="6" t="s">
        <v>30</v>
      </c>
      <c r="B32" s="27">
        <v>10</v>
      </c>
      <c r="C32" s="109"/>
      <c r="D32" s="109">
        <v>20</v>
      </c>
      <c r="E32" s="110"/>
      <c r="F32" s="22"/>
      <c r="G32" s="22">
        <v>6000</v>
      </c>
      <c r="H32" s="22"/>
      <c r="I32" s="41"/>
      <c r="J32" s="41">
        <v>1.25</v>
      </c>
      <c r="K32" s="41"/>
      <c r="L32" s="49">
        <v>0.445</v>
      </c>
      <c r="M32" s="24">
        <f t="shared" si="0"/>
        <v>0</v>
      </c>
      <c r="N32" s="44">
        <f>ROUND(D32*G32*J32*L32/1000,1)+0.2</f>
        <v>67</v>
      </c>
      <c r="O32" s="24">
        <f t="shared" si="1"/>
        <v>0</v>
      </c>
      <c r="P32" s="24">
        <f t="shared" si="2"/>
        <v>67</v>
      </c>
      <c r="Q32" s="24">
        <v>1221.7</v>
      </c>
      <c r="R32" s="44">
        <f>Q32-Корректировка!C31</f>
        <v>67</v>
      </c>
      <c r="S32" s="44">
        <f t="shared" si="3"/>
        <v>0</v>
      </c>
    </row>
    <row r="33" spans="1:19" ht="15.75">
      <c r="A33" s="6" t="s">
        <v>31</v>
      </c>
      <c r="B33" s="27">
        <v>10</v>
      </c>
      <c r="C33" s="109"/>
      <c r="D33" s="109">
        <v>18</v>
      </c>
      <c r="E33" s="110"/>
      <c r="F33" s="22"/>
      <c r="G33" s="22">
        <v>6000</v>
      </c>
      <c r="H33" s="22"/>
      <c r="I33" s="41"/>
      <c r="J33" s="41">
        <v>1.39</v>
      </c>
      <c r="K33" s="41"/>
      <c r="L33" s="49">
        <v>0.429</v>
      </c>
      <c r="M33" s="24">
        <f t="shared" si="0"/>
        <v>0</v>
      </c>
      <c r="N33" s="44">
        <f>ROUND(D33*G33*J33*L33/1000,1)+0.7</f>
        <v>65.10000000000001</v>
      </c>
      <c r="O33" s="24">
        <f t="shared" si="1"/>
        <v>0</v>
      </c>
      <c r="P33" s="24">
        <f t="shared" si="2"/>
        <v>65.10000000000001</v>
      </c>
      <c r="Q33" s="24">
        <v>1285.8</v>
      </c>
      <c r="R33" s="44">
        <f>Q33-Корректировка!C32</f>
        <v>65.09999999999991</v>
      </c>
      <c r="S33" s="44">
        <f t="shared" si="3"/>
        <v>0</v>
      </c>
    </row>
    <row r="34" spans="1:19" ht="21" customHeight="1">
      <c r="A34" s="6" t="s">
        <v>21</v>
      </c>
      <c r="B34" s="27">
        <v>10</v>
      </c>
      <c r="C34" s="109"/>
      <c r="D34" s="109">
        <v>62</v>
      </c>
      <c r="E34" s="110"/>
      <c r="F34" s="22"/>
      <c r="G34" s="22">
        <v>6000</v>
      </c>
      <c r="H34" s="22"/>
      <c r="I34" s="41"/>
      <c r="J34" s="41">
        <v>1</v>
      </c>
      <c r="K34" s="41"/>
      <c r="L34" s="49">
        <v>0.3</v>
      </c>
      <c r="M34" s="24">
        <f t="shared" si="0"/>
        <v>0</v>
      </c>
      <c r="N34" s="44">
        <f>ROUND(D34*G34*J34*L34/1000,1)-0.2</f>
        <v>111.39999999999999</v>
      </c>
      <c r="O34" s="24">
        <f t="shared" si="1"/>
        <v>0</v>
      </c>
      <c r="P34" s="24">
        <f t="shared" si="2"/>
        <v>111.39999999999999</v>
      </c>
      <c r="Q34" s="24">
        <v>2259.1</v>
      </c>
      <c r="R34" s="44">
        <f>Q34-Корректировка!C33</f>
        <v>111.40000000000009</v>
      </c>
      <c r="S34" s="44">
        <f t="shared" si="3"/>
        <v>0</v>
      </c>
    </row>
    <row r="35" spans="1:19" ht="21" customHeight="1">
      <c r="A35" s="6" t="s">
        <v>32</v>
      </c>
      <c r="B35" s="27">
        <v>9</v>
      </c>
      <c r="C35" s="109"/>
      <c r="D35" s="109">
        <v>12</v>
      </c>
      <c r="E35" s="110"/>
      <c r="F35" s="22"/>
      <c r="G35" s="22">
        <v>6000</v>
      </c>
      <c r="H35" s="22"/>
      <c r="I35" s="41"/>
      <c r="J35" s="41">
        <v>2.08</v>
      </c>
      <c r="K35" s="41"/>
      <c r="L35" s="49">
        <v>0.393</v>
      </c>
      <c r="M35" s="24">
        <f t="shared" si="0"/>
        <v>0</v>
      </c>
      <c r="N35" s="44">
        <f>ROUND(D35*G35*J35*L35/1000,1)+0.6</f>
        <v>59.5</v>
      </c>
      <c r="O35" s="24">
        <f t="shared" si="1"/>
        <v>0</v>
      </c>
      <c r="P35" s="24">
        <f t="shared" si="2"/>
        <v>59.5</v>
      </c>
      <c r="Q35" s="24">
        <v>1175.4</v>
      </c>
      <c r="R35" s="44">
        <f>Q35-Корректировка!C34</f>
        <v>59.5</v>
      </c>
      <c r="S35" s="44">
        <f t="shared" si="3"/>
        <v>0</v>
      </c>
    </row>
    <row r="36" spans="1:19" ht="15.75">
      <c r="A36" s="6" t="s">
        <v>33</v>
      </c>
      <c r="B36" s="27">
        <v>10</v>
      </c>
      <c r="C36" s="109"/>
      <c r="D36" s="109">
        <v>31</v>
      </c>
      <c r="E36" s="110"/>
      <c r="F36" s="22"/>
      <c r="G36" s="22">
        <v>6000</v>
      </c>
      <c r="H36" s="22"/>
      <c r="I36" s="41"/>
      <c r="J36" s="41">
        <v>1.61</v>
      </c>
      <c r="K36" s="41"/>
      <c r="L36" s="49">
        <v>0.349</v>
      </c>
      <c r="M36" s="24">
        <f t="shared" si="0"/>
        <v>0</v>
      </c>
      <c r="N36" s="44">
        <f>ROUND(D36*G36*J36*L36/1000,1)+0.1</f>
        <v>104.6</v>
      </c>
      <c r="O36" s="24">
        <f t="shared" si="1"/>
        <v>0</v>
      </c>
      <c r="P36" s="24">
        <f t="shared" si="2"/>
        <v>104.6</v>
      </c>
      <c r="Q36" s="24">
        <v>2101.5</v>
      </c>
      <c r="R36" s="44">
        <f>Q36-Корректировка!C35</f>
        <v>104.60000000000014</v>
      </c>
      <c r="S36" s="44">
        <f t="shared" si="3"/>
        <v>1.4210854715202004E-13</v>
      </c>
    </row>
    <row r="37" spans="1:19" ht="15.75">
      <c r="A37" s="6" t="s">
        <v>34</v>
      </c>
      <c r="B37" s="27">
        <v>10</v>
      </c>
      <c r="C37" s="109"/>
      <c r="D37" s="109">
        <v>26</v>
      </c>
      <c r="E37" s="110"/>
      <c r="F37" s="22"/>
      <c r="G37" s="22">
        <v>6000</v>
      </c>
      <c r="H37" s="22"/>
      <c r="I37" s="41"/>
      <c r="J37" s="41">
        <v>1</v>
      </c>
      <c r="K37" s="41"/>
      <c r="L37" s="49">
        <v>0.475</v>
      </c>
      <c r="M37" s="24">
        <f t="shared" si="0"/>
        <v>0</v>
      </c>
      <c r="N37" s="44">
        <f>ROUND(D37*G37*J37*L37/1000,1)+0.2</f>
        <v>74.3</v>
      </c>
      <c r="O37" s="24">
        <f t="shared" si="1"/>
        <v>0</v>
      </c>
      <c r="P37" s="24">
        <f t="shared" si="2"/>
        <v>74.3</v>
      </c>
      <c r="Q37" s="24">
        <v>1390.7</v>
      </c>
      <c r="R37" s="44">
        <f>Q37-Корректировка!C36</f>
        <v>74.30000000000018</v>
      </c>
      <c r="S37" s="44">
        <f t="shared" si="3"/>
        <v>1.8474111129762605E-13</v>
      </c>
    </row>
    <row r="38" spans="1:19" ht="15.75">
      <c r="A38" s="6" t="s">
        <v>35</v>
      </c>
      <c r="B38" s="27">
        <v>10</v>
      </c>
      <c r="C38" s="109"/>
      <c r="D38" s="109">
        <v>34</v>
      </c>
      <c r="E38" s="114"/>
      <c r="F38" s="22"/>
      <c r="G38" s="22">
        <v>6000</v>
      </c>
      <c r="H38" s="22"/>
      <c r="I38" s="41"/>
      <c r="J38" s="41">
        <v>1.47</v>
      </c>
      <c r="K38" s="41"/>
      <c r="L38" s="49">
        <v>0.438</v>
      </c>
      <c r="M38" s="24">
        <f t="shared" si="0"/>
        <v>0</v>
      </c>
      <c r="N38" s="44">
        <f>ROUND(D38*G38*J38*L38/1000,1)-0.3</f>
        <v>131</v>
      </c>
      <c r="O38" s="24">
        <f t="shared" si="1"/>
        <v>0</v>
      </c>
      <c r="P38" s="24">
        <f t="shared" si="2"/>
        <v>131</v>
      </c>
      <c r="Q38" s="24">
        <v>2528.9</v>
      </c>
      <c r="R38" s="44">
        <f>Q38-Корректировка!C37</f>
        <v>131.00000000000045</v>
      </c>
      <c r="S38" s="44">
        <f t="shared" si="3"/>
        <v>4.547473508864641E-13</v>
      </c>
    </row>
    <row r="39" spans="1:19" s="8" customFormat="1" ht="16.5" customHeight="1">
      <c r="A39" s="7" t="s">
        <v>36</v>
      </c>
      <c r="B39" s="28">
        <v>9</v>
      </c>
      <c r="C39" s="109"/>
      <c r="D39" s="109">
        <v>22</v>
      </c>
      <c r="E39" s="108"/>
      <c r="F39" s="22"/>
      <c r="G39" s="22">
        <v>6000</v>
      </c>
      <c r="H39" s="23"/>
      <c r="I39" s="41"/>
      <c r="J39" s="41">
        <v>1.14</v>
      </c>
      <c r="K39" s="41"/>
      <c r="L39" s="49">
        <v>0.42</v>
      </c>
      <c r="M39" s="24">
        <f t="shared" si="0"/>
        <v>0</v>
      </c>
      <c r="N39" s="44">
        <f>ROUND(D39*G39*J39*L39/1000,1)+0.3</f>
        <v>63.5</v>
      </c>
      <c r="O39" s="24">
        <f t="shared" si="1"/>
        <v>0</v>
      </c>
      <c r="P39" s="24">
        <f t="shared" si="2"/>
        <v>63.5</v>
      </c>
      <c r="Q39" s="24">
        <v>1188.6</v>
      </c>
      <c r="R39" s="44">
        <f>Q39-Корректировка!C38</f>
        <v>63.5</v>
      </c>
      <c r="S39" s="44">
        <f t="shared" si="3"/>
        <v>0</v>
      </c>
    </row>
    <row r="40" spans="1:19" s="8" customFormat="1" ht="15" customHeight="1">
      <c r="A40" s="7" t="s">
        <v>37</v>
      </c>
      <c r="B40" s="28">
        <v>10</v>
      </c>
      <c r="C40" s="109"/>
      <c r="D40" s="109">
        <v>34</v>
      </c>
      <c r="E40" s="110"/>
      <c r="F40" s="22"/>
      <c r="G40" s="22">
        <v>6000</v>
      </c>
      <c r="H40" s="23"/>
      <c r="I40" s="41"/>
      <c r="J40" s="41">
        <v>1.47</v>
      </c>
      <c r="K40" s="41"/>
      <c r="L40" s="49">
        <v>0.385</v>
      </c>
      <c r="M40" s="24">
        <f t="shared" si="0"/>
        <v>0</v>
      </c>
      <c r="N40" s="44">
        <f>ROUND(D40*G40*J40*L40/1000,1)-0.5</f>
        <v>115</v>
      </c>
      <c r="O40" s="24">
        <f t="shared" si="1"/>
        <v>0</v>
      </c>
      <c r="P40" s="24">
        <f t="shared" si="2"/>
        <v>115</v>
      </c>
      <c r="Q40" s="24">
        <v>2339.9</v>
      </c>
      <c r="R40" s="44">
        <f>Q40-Корректировка!C39</f>
        <v>115</v>
      </c>
      <c r="S40" s="44">
        <f t="shared" si="3"/>
        <v>0</v>
      </c>
    </row>
    <row r="41" spans="1:19" ht="18.75" customHeight="1">
      <c r="A41" s="6" t="s">
        <v>38</v>
      </c>
      <c r="B41" s="27">
        <v>10</v>
      </c>
      <c r="C41" s="109"/>
      <c r="D41" s="109">
        <v>63</v>
      </c>
      <c r="E41" s="110"/>
      <c r="F41" s="22"/>
      <c r="G41" s="22">
        <v>6000</v>
      </c>
      <c r="H41" s="22"/>
      <c r="I41" s="41"/>
      <c r="J41" s="41">
        <v>1.19</v>
      </c>
      <c r="K41" s="41"/>
      <c r="L41" s="49">
        <v>0.36</v>
      </c>
      <c r="M41" s="24">
        <f t="shared" si="0"/>
        <v>0</v>
      </c>
      <c r="N41" s="44">
        <f>ROUND(D41*G41*J41*L41/1000,1)-0.6</f>
        <v>161.3</v>
      </c>
      <c r="O41" s="24">
        <f t="shared" si="1"/>
        <v>0</v>
      </c>
      <c r="P41" s="24">
        <f t="shared" si="2"/>
        <v>161.3</v>
      </c>
      <c r="Q41" s="24">
        <v>3329.6</v>
      </c>
      <c r="R41" s="44">
        <f>Q41-Корректировка!C40</f>
        <v>161.30000000000018</v>
      </c>
      <c r="S41" s="44">
        <f t="shared" si="3"/>
        <v>0</v>
      </c>
    </row>
    <row r="42" spans="1:19" ht="15.75">
      <c r="A42" s="6" t="s">
        <v>39</v>
      </c>
      <c r="B42" s="27">
        <v>9</v>
      </c>
      <c r="C42" s="115"/>
      <c r="D42" s="115">
        <v>12</v>
      </c>
      <c r="E42" s="116"/>
      <c r="F42" s="22"/>
      <c r="G42" s="22">
        <v>6000</v>
      </c>
      <c r="H42" s="22"/>
      <c r="I42" s="41"/>
      <c r="J42" s="41">
        <v>2.08</v>
      </c>
      <c r="K42" s="41"/>
      <c r="L42" s="49">
        <v>0.446</v>
      </c>
      <c r="M42" s="24">
        <f t="shared" si="0"/>
        <v>0</v>
      </c>
      <c r="N42" s="44">
        <f>ROUND(D42*G42*J42*L42/1000,1)-0.2</f>
        <v>66.6</v>
      </c>
      <c r="O42" s="24">
        <f t="shared" si="1"/>
        <v>0</v>
      </c>
      <c r="P42" s="24">
        <f t="shared" si="2"/>
        <v>66.6</v>
      </c>
      <c r="Q42" s="24">
        <v>1186.2</v>
      </c>
      <c r="R42" s="44">
        <f>Q42-Корректировка!C41</f>
        <v>66.60000000000014</v>
      </c>
      <c r="S42" s="44">
        <f t="shared" si="3"/>
        <v>1.4210854715202004E-13</v>
      </c>
    </row>
    <row r="43" spans="1:19" ht="14.25" customHeight="1">
      <c r="A43" s="6" t="s">
        <v>22</v>
      </c>
      <c r="B43" s="30">
        <v>10</v>
      </c>
      <c r="C43" s="117"/>
      <c r="D43" s="117">
        <v>40</v>
      </c>
      <c r="E43" s="117"/>
      <c r="F43" s="22"/>
      <c r="G43" s="22">
        <v>6000</v>
      </c>
      <c r="H43" s="22"/>
      <c r="I43" s="41"/>
      <c r="J43" s="41">
        <v>1.25</v>
      </c>
      <c r="K43" s="41"/>
      <c r="L43" s="49">
        <v>0.398</v>
      </c>
      <c r="M43" s="24">
        <f t="shared" si="0"/>
        <v>0</v>
      </c>
      <c r="N43" s="44">
        <f>ROUND(D43*G43*J43*L43/1000,1)</f>
        <v>119.4</v>
      </c>
      <c r="O43" s="24">
        <f t="shared" si="1"/>
        <v>0</v>
      </c>
      <c r="P43" s="24">
        <f t="shared" si="2"/>
        <v>119.4</v>
      </c>
      <c r="Q43" s="24">
        <v>2174.8</v>
      </c>
      <c r="R43" s="44">
        <f>Q43-Корректировка!C42</f>
        <v>119.40000000000055</v>
      </c>
      <c r="S43" s="44">
        <f t="shared" si="3"/>
        <v>5.400124791776761E-13</v>
      </c>
    </row>
    <row r="44" spans="1:19" ht="15.75">
      <c r="A44" s="6" t="s">
        <v>40</v>
      </c>
      <c r="B44" s="27">
        <v>10</v>
      </c>
      <c r="C44" s="107"/>
      <c r="D44" s="107">
        <v>22</v>
      </c>
      <c r="E44" s="118"/>
      <c r="F44" s="22"/>
      <c r="G44" s="22">
        <v>6000</v>
      </c>
      <c r="H44" s="22"/>
      <c r="I44" s="41"/>
      <c r="J44" s="41">
        <v>1.14</v>
      </c>
      <c r="K44" s="41"/>
      <c r="L44" s="49">
        <v>0.47</v>
      </c>
      <c r="M44" s="24">
        <f t="shared" si="0"/>
        <v>0</v>
      </c>
      <c r="N44" s="44">
        <f>ROUND(D44*G44*J44*L44/1000,1)</f>
        <v>70.7</v>
      </c>
      <c r="O44" s="24">
        <f t="shared" si="1"/>
        <v>0</v>
      </c>
      <c r="P44" s="24">
        <f t="shared" si="2"/>
        <v>70.7</v>
      </c>
      <c r="Q44" s="24">
        <v>1389.9</v>
      </c>
      <c r="R44" s="44">
        <f>Q44-Корректировка!C43</f>
        <v>70.70000000000005</v>
      </c>
      <c r="S44" s="44">
        <f t="shared" si="3"/>
        <v>0</v>
      </c>
    </row>
    <row r="45" spans="1:19" ht="15.75">
      <c r="A45" s="6" t="s">
        <v>41</v>
      </c>
      <c r="B45" s="27">
        <v>9</v>
      </c>
      <c r="C45" s="109"/>
      <c r="D45" s="109">
        <v>7</v>
      </c>
      <c r="E45" s="110"/>
      <c r="F45" s="22"/>
      <c r="G45" s="22">
        <v>6000</v>
      </c>
      <c r="H45" s="22"/>
      <c r="I45" s="41"/>
      <c r="J45" s="41">
        <v>3.57</v>
      </c>
      <c r="K45" s="41"/>
      <c r="L45" s="49">
        <v>0.392</v>
      </c>
      <c r="M45" s="24">
        <f t="shared" si="0"/>
        <v>0</v>
      </c>
      <c r="N45" s="44">
        <f>ROUND(D45*G45*J45*L45/1000,1)</f>
        <v>58.8</v>
      </c>
      <c r="O45" s="24">
        <f t="shared" si="1"/>
        <v>0</v>
      </c>
      <c r="P45" s="24">
        <f t="shared" si="2"/>
        <v>58.8</v>
      </c>
      <c r="Q45" s="24">
        <v>1145.6</v>
      </c>
      <c r="R45" s="44">
        <f>Q45-Корректировка!C44</f>
        <v>58.799999999999955</v>
      </c>
      <c r="S45" s="44">
        <f t="shared" si="3"/>
        <v>0</v>
      </c>
    </row>
    <row r="46" spans="1:19" ht="22.5" customHeight="1">
      <c r="A46" s="6" t="s">
        <v>42</v>
      </c>
      <c r="B46" s="27">
        <v>10</v>
      </c>
      <c r="C46" s="109"/>
      <c r="D46" s="109">
        <v>15</v>
      </c>
      <c r="E46" s="114"/>
      <c r="F46" s="22"/>
      <c r="G46" s="22">
        <v>6000</v>
      </c>
      <c r="H46" s="22"/>
      <c r="I46" s="41"/>
      <c r="J46" s="41">
        <v>1.67</v>
      </c>
      <c r="K46" s="41"/>
      <c r="L46" s="49">
        <v>0.46</v>
      </c>
      <c r="M46" s="24">
        <f t="shared" si="0"/>
        <v>0</v>
      </c>
      <c r="N46" s="44">
        <f>ROUND(D46*G46*J46*L46/1000,1)+0.1</f>
        <v>69.19999999999999</v>
      </c>
      <c r="O46" s="24">
        <f t="shared" si="1"/>
        <v>0</v>
      </c>
      <c r="P46" s="24">
        <f t="shared" si="2"/>
        <v>69.19999999999999</v>
      </c>
      <c r="Q46" s="24">
        <v>1337.7</v>
      </c>
      <c r="R46" s="44">
        <f>Q46-Корректировка!C45</f>
        <v>69.20000000000005</v>
      </c>
      <c r="S46" s="44">
        <f t="shared" si="3"/>
        <v>0</v>
      </c>
    </row>
    <row r="47" spans="1:19" ht="15.75">
      <c r="A47" s="6" t="s">
        <v>23</v>
      </c>
      <c r="B47" s="27">
        <v>9</v>
      </c>
      <c r="C47" s="109"/>
      <c r="D47" s="109">
        <v>17</v>
      </c>
      <c r="E47" s="110"/>
      <c r="F47" s="22"/>
      <c r="G47" s="22">
        <v>6000</v>
      </c>
      <c r="H47" s="22"/>
      <c r="I47" s="41"/>
      <c r="J47" s="41">
        <v>1.36</v>
      </c>
      <c r="K47" s="41"/>
      <c r="L47" s="49">
        <v>0.285</v>
      </c>
      <c r="M47" s="24">
        <f t="shared" si="0"/>
        <v>0</v>
      </c>
      <c r="N47" s="44">
        <f>ROUND(D47*G47*J47*L47/1000,1)</f>
        <v>39.5</v>
      </c>
      <c r="O47" s="24">
        <f t="shared" si="1"/>
        <v>0</v>
      </c>
      <c r="P47" s="24">
        <f t="shared" si="2"/>
        <v>39.5</v>
      </c>
      <c r="Q47" s="24">
        <v>842</v>
      </c>
      <c r="R47" s="44">
        <f>Q47-Корректировка!C46</f>
        <v>39.5</v>
      </c>
      <c r="S47" s="44">
        <f t="shared" si="3"/>
        <v>0</v>
      </c>
    </row>
    <row r="48" spans="1:19" ht="18" customHeight="1">
      <c r="A48" s="6" t="s">
        <v>43</v>
      </c>
      <c r="B48" s="27">
        <v>10</v>
      </c>
      <c r="C48" s="109"/>
      <c r="D48" s="109">
        <v>21</v>
      </c>
      <c r="E48" s="110"/>
      <c r="F48" s="22"/>
      <c r="G48" s="22">
        <v>6000</v>
      </c>
      <c r="H48" s="22"/>
      <c r="I48" s="41"/>
      <c r="J48" s="41">
        <v>1.19</v>
      </c>
      <c r="K48" s="41"/>
      <c r="L48" s="49">
        <v>0.46</v>
      </c>
      <c r="M48" s="24">
        <f t="shared" si="0"/>
        <v>0</v>
      </c>
      <c r="N48" s="44">
        <f>ROUND(D48*G48*J48*L48/1000,1)</f>
        <v>69</v>
      </c>
      <c r="O48" s="24">
        <f t="shared" si="1"/>
        <v>0</v>
      </c>
      <c r="P48" s="24">
        <f t="shared" si="2"/>
        <v>69</v>
      </c>
      <c r="Q48" s="24">
        <v>1387.8</v>
      </c>
      <c r="R48" s="44">
        <f>Q48-Корректировка!C47</f>
        <v>68.99999999999977</v>
      </c>
      <c r="S48" s="44">
        <f t="shared" si="3"/>
        <v>-2.2737367544323206E-13</v>
      </c>
    </row>
    <row r="49" spans="1:19" ht="34.5" customHeight="1">
      <c r="A49" s="7" t="s">
        <v>44</v>
      </c>
      <c r="B49" s="28">
        <v>9</v>
      </c>
      <c r="C49" s="109"/>
      <c r="D49" s="109">
        <v>9</v>
      </c>
      <c r="E49" s="110"/>
      <c r="F49" s="22"/>
      <c r="G49" s="22">
        <v>6000</v>
      </c>
      <c r="H49" s="22"/>
      <c r="I49" s="41"/>
      <c r="J49" s="41">
        <v>2.78</v>
      </c>
      <c r="K49" s="41"/>
      <c r="L49" s="49">
        <v>0.363</v>
      </c>
      <c r="M49" s="24">
        <f t="shared" si="0"/>
        <v>0</v>
      </c>
      <c r="N49" s="44">
        <f>ROUND(D49*G49*J49*L49/1000,1)</f>
        <v>54.5</v>
      </c>
      <c r="O49" s="24">
        <f t="shared" si="1"/>
        <v>0</v>
      </c>
      <c r="P49" s="24">
        <f t="shared" si="2"/>
        <v>54.5</v>
      </c>
      <c r="Q49" s="24">
        <v>1123</v>
      </c>
      <c r="R49" s="44">
        <f>Q49-Корректировка!C48</f>
        <v>54.5</v>
      </c>
      <c r="S49" s="44">
        <f t="shared" si="3"/>
        <v>0</v>
      </c>
    </row>
    <row r="50" spans="1:19" s="8" customFormat="1" ht="32.25" thickBot="1">
      <c r="A50" s="7" t="s">
        <v>45</v>
      </c>
      <c r="B50" s="28">
        <v>10</v>
      </c>
      <c r="C50" s="109"/>
      <c r="D50" s="109">
        <v>17</v>
      </c>
      <c r="E50" s="116"/>
      <c r="F50" s="22"/>
      <c r="G50" s="22">
        <v>6000</v>
      </c>
      <c r="H50" s="23"/>
      <c r="I50" s="41"/>
      <c r="J50" s="41">
        <v>1.47</v>
      </c>
      <c r="K50" s="41"/>
      <c r="L50" s="49">
        <v>0.4</v>
      </c>
      <c r="M50" s="24">
        <f t="shared" si="0"/>
        <v>0</v>
      </c>
      <c r="N50" s="44">
        <f>ROUND(D50*G50*J50*L50/1000,1)</f>
        <v>60</v>
      </c>
      <c r="O50" s="24">
        <f t="shared" si="1"/>
        <v>0</v>
      </c>
      <c r="P50" s="24">
        <f t="shared" si="2"/>
        <v>60</v>
      </c>
      <c r="Q50" s="24">
        <v>1266.2</v>
      </c>
      <c r="R50" s="44">
        <f>Q50-Корректировка!C49</f>
        <v>60</v>
      </c>
      <c r="S50" s="44">
        <f t="shared" si="3"/>
        <v>0</v>
      </c>
    </row>
    <row r="51" spans="1:19" ht="48" thickBot="1">
      <c r="A51" s="76" t="s">
        <v>52</v>
      </c>
      <c r="B51" s="14"/>
      <c r="C51" s="119">
        <f>SUM(C6:C50)</f>
        <v>405</v>
      </c>
      <c r="D51" s="119">
        <f>SUM(D6:D50)</f>
        <v>2838</v>
      </c>
      <c r="E51" s="120">
        <f>SUM(E6:E50)</f>
        <v>305</v>
      </c>
      <c r="F51" s="20"/>
      <c r="G51" s="22"/>
      <c r="H51" s="22"/>
      <c r="I51" s="31"/>
      <c r="J51" s="31"/>
      <c r="K51" s="31"/>
      <c r="L51" s="22"/>
      <c r="M51" s="24">
        <f aca="true" t="shared" si="4" ref="M51:S51">SUM(M6:M50)</f>
        <v>885.2</v>
      </c>
      <c r="N51" s="24">
        <f t="shared" si="4"/>
        <v>8015.299999999998</v>
      </c>
      <c r="O51" s="24">
        <f t="shared" si="4"/>
        <v>955.5</v>
      </c>
      <c r="P51" s="24">
        <f t="shared" si="4"/>
        <v>9855.999999999998</v>
      </c>
      <c r="Q51" s="24">
        <f>SUM(Q6:Q50)</f>
        <v>202464.20000000004</v>
      </c>
      <c r="R51" s="24">
        <f t="shared" si="4"/>
        <v>9856</v>
      </c>
      <c r="S51" s="24">
        <f t="shared" si="4"/>
        <v>2.2879476091475226E-12</v>
      </c>
    </row>
    <row r="52" spans="1:16" ht="18" customHeight="1">
      <c r="A52" s="9"/>
      <c r="B52" s="9"/>
      <c r="C52" s="33"/>
      <c r="D52" s="15"/>
      <c r="I52" s="51"/>
      <c r="J52" s="51"/>
      <c r="K52" s="34"/>
      <c r="P52" s="25"/>
    </row>
    <row r="53" spans="1:12" ht="15.75">
      <c r="A53" s="10"/>
      <c r="B53" s="10"/>
      <c r="C53" s="11"/>
      <c r="D53" s="11"/>
      <c r="I53" s="35"/>
      <c r="J53" s="35"/>
      <c r="K53" s="35"/>
      <c r="L53" s="35"/>
    </row>
    <row r="54" spans="1:16" ht="15.75">
      <c r="A54" s="10"/>
      <c r="B54" s="10"/>
      <c r="C54" s="11"/>
      <c r="D54" s="11"/>
      <c r="P54" s="25"/>
    </row>
    <row r="55" spans="1:4" ht="15.75">
      <c r="A55" s="10"/>
      <c r="B55" s="10"/>
      <c r="C55" s="11"/>
      <c r="D55" s="11"/>
    </row>
    <row r="56" spans="1:4" ht="15.75">
      <c r="A56" s="10"/>
      <c r="B56" s="10"/>
      <c r="C56" s="11"/>
      <c r="D56" s="11"/>
    </row>
    <row r="57" spans="1:4" ht="15.75">
      <c r="A57" s="16"/>
      <c r="B57" s="16"/>
      <c r="C57" s="11"/>
      <c r="D57" s="11"/>
    </row>
    <row r="58" spans="1:4" ht="15.75">
      <c r="A58" s="16"/>
      <c r="B58" s="16"/>
      <c r="C58" s="11"/>
      <c r="D58" s="11"/>
    </row>
    <row r="59" spans="1:4" ht="16.5" customHeight="1">
      <c r="A59" s="10"/>
      <c r="B59" s="10"/>
      <c r="C59" s="11"/>
      <c r="D59" s="11"/>
    </row>
    <row r="60" spans="1:4" ht="15.75">
      <c r="A60" s="10"/>
      <c r="B60" s="10"/>
      <c r="C60" s="11"/>
      <c r="D60" s="11"/>
    </row>
    <row r="61" spans="1:4" ht="15.75">
      <c r="A61" s="10"/>
      <c r="B61" s="10"/>
      <c r="C61" s="11"/>
      <c r="D61" s="11"/>
    </row>
    <row r="62" spans="1:4" ht="15.75">
      <c r="A62" s="10"/>
      <c r="B62" s="10"/>
      <c r="C62" s="11"/>
      <c r="D62" s="11"/>
    </row>
    <row r="63" spans="1:4" ht="15.75">
      <c r="A63" s="10"/>
      <c r="B63" s="10"/>
      <c r="C63" s="11"/>
      <c r="D63" s="11"/>
    </row>
    <row r="64" spans="1:4" ht="15.75">
      <c r="A64" s="10"/>
      <c r="B64" s="10"/>
      <c r="C64" s="11"/>
      <c r="D64" s="11"/>
    </row>
    <row r="65" spans="1:4" ht="15.75">
      <c r="A65" s="17"/>
      <c r="B65" s="17"/>
      <c r="C65" s="18"/>
      <c r="D65" s="18"/>
    </row>
    <row r="66" spans="1:4" s="13" customFormat="1" ht="16.5" customHeight="1">
      <c r="A66" s="156"/>
      <c r="B66" s="156"/>
      <c r="C66" s="156"/>
      <c r="D66" s="156"/>
    </row>
    <row r="67" spans="1:4" ht="15.75">
      <c r="A67" s="16"/>
      <c r="B67" s="16"/>
      <c r="C67" s="11"/>
      <c r="D67" s="11"/>
    </row>
    <row r="68" spans="1:4" ht="15.75">
      <c r="A68" s="16"/>
      <c r="B68" s="16"/>
      <c r="C68" s="11"/>
      <c r="D68" s="11"/>
    </row>
    <row r="69" spans="1:4" ht="15.75">
      <c r="A69" s="16"/>
      <c r="B69" s="16"/>
      <c r="C69" s="11"/>
      <c r="D69" s="11"/>
    </row>
    <row r="70" spans="1:4" ht="15.75">
      <c r="A70" s="16"/>
      <c r="B70" s="16"/>
      <c r="C70" s="11"/>
      <c r="D70" s="11"/>
    </row>
    <row r="71" spans="1:4" ht="18" customHeight="1">
      <c r="A71" s="16"/>
      <c r="B71" s="16"/>
      <c r="C71" s="11"/>
      <c r="D71" s="11"/>
    </row>
    <row r="72" spans="1:4" ht="15.75">
      <c r="A72" s="16"/>
      <c r="B72" s="16"/>
      <c r="C72" s="11"/>
      <c r="D72" s="11"/>
    </row>
    <row r="73" spans="1:4" ht="15.75">
      <c r="A73" s="16"/>
      <c r="B73" s="16"/>
      <c r="C73" s="11"/>
      <c r="D73" s="11"/>
    </row>
    <row r="74" spans="1:4" ht="15.75">
      <c r="A74" s="16"/>
      <c r="B74" s="16"/>
      <c r="C74" s="11"/>
      <c r="D74" s="11"/>
    </row>
    <row r="75" spans="1:4" ht="15.75">
      <c r="A75" s="16"/>
      <c r="B75" s="16"/>
      <c r="C75" s="11"/>
      <c r="D75" s="11"/>
    </row>
    <row r="76" spans="1:4" ht="15.75">
      <c r="A76" s="16"/>
      <c r="B76" s="16"/>
      <c r="C76" s="11"/>
      <c r="D76" s="11"/>
    </row>
    <row r="77" spans="1:4" ht="15.75">
      <c r="A77" s="10"/>
      <c r="B77" s="10"/>
      <c r="C77" s="11"/>
      <c r="D77" s="11"/>
    </row>
    <row r="78" spans="1:4" ht="15.75">
      <c r="A78" s="10"/>
      <c r="B78" s="10"/>
      <c r="C78" s="11"/>
      <c r="D78" s="11"/>
    </row>
    <row r="79" spans="1:4" ht="15.75">
      <c r="A79" s="10"/>
      <c r="B79" s="10"/>
      <c r="C79" s="11"/>
      <c r="D79" s="11"/>
    </row>
    <row r="80" spans="1:4" ht="15.75">
      <c r="A80" s="10"/>
      <c r="B80" s="10"/>
      <c r="C80" s="11"/>
      <c r="D80" s="11"/>
    </row>
    <row r="81" spans="1:4" ht="15.75">
      <c r="A81" s="10"/>
      <c r="B81" s="10"/>
      <c r="C81" s="11"/>
      <c r="D81" s="11"/>
    </row>
    <row r="82" spans="1:4" ht="15.75">
      <c r="A82" s="10"/>
      <c r="B82" s="10"/>
      <c r="C82" s="11"/>
      <c r="D82" s="11"/>
    </row>
    <row r="83" spans="1:4" ht="15.75">
      <c r="A83" s="10"/>
      <c r="B83" s="10"/>
      <c r="C83" s="11"/>
      <c r="D83" s="11"/>
    </row>
    <row r="84" spans="1:4" ht="15.75">
      <c r="A84" s="10"/>
      <c r="B84" s="10"/>
      <c r="C84" s="11"/>
      <c r="D84" s="11"/>
    </row>
    <row r="85" spans="1:4" ht="15.75">
      <c r="A85" s="10"/>
      <c r="B85" s="10"/>
      <c r="C85" s="11"/>
      <c r="D85" s="11"/>
    </row>
    <row r="86" spans="1:4" ht="15.75">
      <c r="A86" s="10"/>
      <c r="B86" s="10"/>
      <c r="C86" s="11"/>
      <c r="D86" s="11"/>
    </row>
    <row r="87" spans="1:4" ht="15.75">
      <c r="A87" s="10"/>
      <c r="B87" s="10"/>
      <c r="C87" s="11"/>
      <c r="D87" s="11"/>
    </row>
    <row r="88" spans="1:4" ht="15.75">
      <c r="A88" s="10"/>
      <c r="B88" s="10"/>
      <c r="C88" s="11"/>
      <c r="D88" s="11"/>
    </row>
    <row r="89" spans="1:4" ht="15.75">
      <c r="A89" s="10"/>
      <c r="B89" s="10"/>
      <c r="C89" s="11"/>
      <c r="D89" s="11"/>
    </row>
    <row r="90" spans="1:4" ht="15.75">
      <c r="A90" s="10"/>
      <c r="B90" s="10"/>
      <c r="C90" s="11"/>
      <c r="D90" s="11"/>
    </row>
    <row r="91" spans="1:4" ht="15.75">
      <c r="A91" s="10"/>
      <c r="B91" s="10"/>
      <c r="C91" s="11"/>
      <c r="D91" s="11"/>
    </row>
    <row r="92" spans="1:4" ht="15.75">
      <c r="A92" s="10"/>
      <c r="B92" s="10"/>
      <c r="C92" s="11"/>
      <c r="D92" s="11"/>
    </row>
    <row r="93" spans="1:4" ht="15.75">
      <c r="A93" s="10"/>
      <c r="B93" s="10"/>
      <c r="C93" s="11"/>
      <c r="D93" s="11"/>
    </row>
    <row r="94" spans="1:4" ht="15.75">
      <c r="A94" s="10"/>
      <c r="B94" s="10"/>
      <c r="C94" s="11"/>
      <c r="D94" s="11"/>
    </row>
    <row r="95" spans="1:4" ht="15.75">
      <c r="A95" s="10"/>
      <c r="B95" s="10"/>
      <c r="C95" s="11"/>
      <c r="D95" s="11"/>
    </row>
    <row r="96" spans="1:4" ht="15.75">
      <c r="A96" s="10"/>
      <c r="B96" s="10"/>
      <c r="C96" s="11"/>
      <c r="D96" s="11"/>
    </row>
    <row r="97" spans="1:4" ht="15.75">
      <c r="A97" s="10"/>
      <c r="B97" s="10"/>
      <c r="C97" s="11"/>
      <c r="D97" s="11"/>
    </row>
    <row r="98" spans="1:4" ht="15.75">
      <c r="A98" s="10"/>
      <c r="B98" s="10"/>
      <c r="C98" s="11"/>
      <c r="D98" s="11"/>
    </row>
    <row r="99" spans="1:4" ht="15.75">
      <c r="A99" s="10"/>
      <c r="B99" s="10"/>
      <c r="C99" s="11"/>
      <c r="D99" s="11"/>
    </row>
    <row r="100" spans="1:4" ht="15.75">
      <c r="A100" s="10"/>
      <c r="B100" s="10"/>
      <c r="C100" s="11"/>
      <c r="D100" s="11"/>
    </row>
    <row r="101" spans="1:4" ht="15.75">
      <c r="A101" s="10"/>
      <c r="B101" s="10"/>
      <c r="C101" s="11"/>
      <c r="D101" s="11"/>
    </row>
    <row r="102" spans="1:4" ht="15.75">
      <c r="A102" s="10"/>
      <c r="B102" s="10"/>
      <c r="C102" s="11"/>
      <c r="D102" s="11"/>
    </row>
    <row r="103" spans="1:4" ht="15.75">
      <c r="A103" s="10"/>
      <c r="B103" s="10"/>
      <c r="C103" s="11"/>
      <c r="D103" s="11"/>
    </row>
    <row r="104" spans="1:4" ht="15.75">
      <c r="A104" s="10"/>
      <c r="B104" s="10"/>
      <c r="C104" s="11"/>
      <c r="D104" s="11"/>
    </row>
    <row r="105" spans="1:4" ht="15.75">
      <c r="A105" s="10"/>
      <c r="B105" s="10"/>
      <c r="C105" s="11"/>
      <c r="D105" s="11"/>
    </row>
    <row r="106" spans="1:4" ht="15.75">
      <c r="A106" s="10"/>
      <c r="B106" s="10"/>
      <c r="C106" s="11"/>
      <c r="D106" s="11"/>
    </row>
    <row r="107" spans="1:4" ht="15.75">
      <c r="A107" s="10"/>
      <c r="B107" s="10"/>
      <c r="C107" s="11"/>
      <c r="D107" s="11"/>
    </row>
    <row r="108" spans="1:4" ht="15.75">
      <c r="A108" s="10"/>
      <c r="B108" s="10"/>
      <c r="C108" s="11"/>
      <c r="D108" s="11"/>
    </row>
    <row r="109" spans="1:4" ht="15.75">
      <c r="A109" s="10"/>
      <c r="B109" s="10"/>
      <c r="C109" s="11"/>
      <c r="D109" s="11"/>
    </row>
    <row r="110" spans="1:4" ht="15.75">
      <c r="A110" s="10"/>
      <c r="B110" s="10"/>
      <c r="C110" s="11"/>
      <c r="D110" s="11"/>
    </row>
    <row r="111" spans="1:4" ht="15.75">
      <c r="A111" s="19"/>
      <c r="B111" s="19"/>
      <c r="C111" s="18"/>
      <c r="D111" s="18"/>
    </row>
    <row r="112" spans="1:4" ht="15.75">
      <c r="A112" s="19"/>
      <c r="B112" s="19"/>
      <c r="C112" s="2"/>
      <c r="D112" s="2"/>
    </row>
    <row r="113" spans="1:4" ht="15.75">
      <c r="A113" s="12"/>
      <c r="B113" s="12"/>
      <c r="C113" s="11"/>
      <c r="D113" s="11"/>
    </row>
  </sheetData>
  <sheetProtection/>
  <mergeCells count="19">
    <mergeCell ref="Q3:Q5"/>
    <mergeCell ref="R3:R5"/>
    <mergeCell ref="S3:S5"/>
    <mergeCell ref="P3:P5"/>
    <mergeCell ref="C4:D4"/>
    <mergeCell ref="F4:G4"/>
    <mergeCell ref="I4:J4"/>
    <mergeCell ref="M4:N4"/>
    <mergeCell ref="M3:O3"/>
    <mergeCell ref="A66:D66"/>
    <mergeCell ref="A1:D1"/>
    <mergeCell ref="F2:H2"/>
    <mergeCell ref="M2:P2"/>
    <mergeCell ref="B3:B5"/>
    <mergeCell ref="C3:E3"/>
    <mergeCell ref="F3:H3"/>
    <mergeCell ref="I3:K3"/>
    <mergeCell ref="L3:L5"/>
    <mergeCell ref="A3:A5"/>
  </mergeCells>
  <printOptions horizontalCentered="1"/>
  <pageMargins left="0" right="0" top="0.5905511811023623" bottom="0" header="0" footer="0"/>
  <pageSetup horizontalDpi="600" verticalDpi="600" orientation="portrait" paperSize="9" scale="50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13"/>
  <sheetViews>
    <sheetView view="pageBreakPreview" zoomScale="70" zoomScaleNormal="71" zoomScaleSheetLayoutView="70" zoomScalePageLayoutView="0" workbookViewId="0" topLeftCell="A1">
      <pane xSplit="1" ySplit="5" topLeftCell="H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55" sqref="D55"/>
    </sheetView>
  </sheetViews>
  <sheetFormatPr defaultColWidth="9.140625" defaultRowHeight="12.75"/>
  <cols>
    <col min="1" max="1" width="30.8515625" style="4" customWidth="1"/>
    <col min="2" max="2" width="14.8515625" style="4" customWidth="1"/>
    <col min="3" max="3" width="19.8515625" style="5" customWidth="1"/>
    <col min="4" max="4" width="21.7109375" style="5" customWidth="1"/>
    <col min="5" max="5" width="20.57421875" style="3" customWidth="1"/>
    <col min="6" max="6" width="12.28125" style="3" customWidth="1"/>
    <col min="7" max="7" width="20.421875" style="3" customWidth="1"/>
    <col min="8" max="12" width="20.00390625" style="3" customWidth="1"/>
    <col min="13" max="13" width="16.28125" style="3" customWidth="1"/>
    <col min="14" max="14" width="21.57421875" style="3" customWidth="1"/>
    <col min="15" max="15" width="17.421875" style="3" customWidth="1"/>
    <col min="16" max="16" width="18.28125" style="3" customWidth="1"/>
    <col min="17" max="17" width="0.2890625" style="3" customWidth="1"/>
    <col min="18" max="18" width="23.28125" style="3" hidden="1" customWidth="1"/>
    <col min="19" max="16384" width="9.140625" style="3" customWidth="1"/>
  </cols>
  <sheetData>
    <row r="1" spans="1:16" ht="15.75">
      <c r="A1" s="157"/>
      <c r="B1" s="157"/>
      <c r="C1" s="157"/>
      <c r="D1" s="157"/>
      <c r="F1" s="21"/>
      <c r="G1" s="21"/>
      <c r="H1" s="21"/>
      <c r="I1" s="21"/>
      <c r="J1" s="21" t="s">
        <v>81</v>
      </c>
      <c r="K1" s="21"/>
      <c r="L1" s="21"/>
      <c r="M1" s="21"/>
      <c r="N1" s="21"/>
      <c r="O1" s="21"/>
      <c r="P1" s="21"/>
    </row>
    <row r="2" spans="1:16" ht="15.75" customHeight="1">
      <c r="A2" s="97"/>
      <c r="B2" s="97"/>
      <c r="C2" s="1"/>
      <c r="D2" s="1"/>
      <c r="F2" s="158"/>
      <c r="G2" s="158"/>
      <c r="H2" s="158"/>
      <c r="I2" s="95"/>
      <c r="J2" s="95"/>
      <c r="K2" s="95"/>
      <c r="L2" s="95"/>
      <c r="M2" s="158"/>
      <c r="N2" s="158"/>
      <c r="O2" s="158"/>
      <c r="P2" s="158"/>
    </row>
    <row r="3" spans="1:18" ht="51.75" customHeight="1">
      <c r="A3" s="181" t="s">
        <v>51</v>
      </c>
      <c r="B3" s="182" t="s">
        <v>50</v>
      </c>
      <c r="C3" s="179" t="s">
        <v>53</v>
      </c>
      <c r="D3" s="179"/>
      <c r="E3" s="179"/>
      <c r="F3" s="185" t="s">
        <v>58</v>
      </c>
      <c r="G3" s="185"/>
      <c r="H3" s="185"/>
      <c r="I3" s="164" t="s">
        <v>59</v>
      </c>
      <c r="J3" s="165"/>
      <c r="K3" s="166"/>
      <c r="L3" s="167" t="s">
        <v>61</v>
      </c>
      <c r="M3" s="192" t="s">
        <v>65</v>
      </c>
      <c r="N3" s="192"/>
      <c r="O3" s="192"/>
      <c r="P3" s="189" t="s">
        <v>80</v>
      </c>
      <c r="Q3" s="173" t="s">
        <v>73</v>
      </c>
      <c r="R3" s="186" t="s">
        <v>74</v>
      </c>
    </row>
    <row r="4" spans="1:18" ht="117.75" customHeight="1">
      <c r="A4" s="181"/>
      <c r="B4" s="183"/>
      <c r="C4" s="190" t="s">
        <v>0</v>
      </c>
      <c r="D4" s="191"/>
      <c r="E4" s="94" t="s">
        <v>48</v>
      </c>
      <c r="F4" s="179" t="s">
        <v>0</v>
      </c>
      <c r="G4" s="179"/>
      <c r="H4" s="94" t="s">
        <v>48</v>
      </c>
      <c r="I4" s="179" t="s">
        <v>0</v>
      </c>
      <c r="J4" s="179"/>
      <c r="K4" s="94" t="s">
        <v>48</v>
      </c>
      <c r="L4" s="168"/>
      <c r="M4" s="179" t="s">
        <v>0</v>
      </c>
      <c r="N4" s="179"/>
      <c r="O4" s="94" t="s">
        <v>48</v>
      </c>
      <c r="P4" s="189"/>
      <c r="Q4" s="174"/>
      <c r="R4" s="187"/>
    </row>
    <row r="5" spans="1:18" ht="125.25" customHeight="1">
      <c r="A5" s="102" t="s">
        <v>54</v>
      </c>
      <c r="B5" s="184"/>
      <c r="C5" s="104" t="s">
        <v>55</v>
      </c>
      <c r="D5" s="104" t="s">
        <v>56</v>
      </c>
      <c r="E5" s="104" t="s">
        <v>57</v>
      </c>
      <c r="F5" s="94" t="s">
        <v>47</v>
      </c>
      <c r="G5" s="94" t="s">
        <v>46</v>
      </c>
      <c r="H5" s="94" t="s">
        <v>49</v>
      </c>
      <c r="I5" s="94" t="s">
        <v>47</v>
      </c>
      <c r="J5" s="94" t="s">
        <v>46</v>
      </c>
      <c r="K5" s="94" t="s">
        <v>49</v>
      </c>
      <c r="L5" s="169"/>
      <c r="M5" s="94" t="s">
        <v>47</v>
      </c>
      <c r="N5" s="94" t="s">
        <v>46</v>
      </c>
      <c r="O5" s="94" t="s">
        <v>49</v>
      </c>
      <c r="P5" s="189"/>
      <c r="Q5" s="175"/>
      <c r="R5" s="188"/>
    </row>
    <row r="6" spans="1:18" s="42" customFormat="1" ht="23.25" customHeight="1">
      <c r="A6" s="39" t="s">
        <v>1</v>
      </c>
      <c r="B6" s="26">
        <v>12</v>
      </c>
      <c r="C6" s="107"/>
      <c r="D6" s="107">
        <v>103</v>
      </c>
      <c r="E6" s="108"/>
      <c r="F6" s="43"/>
      <c r="G6" s="43">
        <v>61331</v>
      </c>
      <c r="H6" s="43"/>
      <c r="I6" s="41"/>
      <c r="J6" s="41">
        <v>1</v>
      </c>
      <c r="K6" s="41"/>
      <c r="L6" s="49">
        <v>0.694</v>
      </c>
      <c r="M6" s="44">
        <f>ROUND(C6*F6*I6*L6/1000,1)</f>
        <v>0</v>
      </c>
      <c r="N6" s="44">
        <f>ROUND(D6*G6*J6*L6/1000,1)-0.1</f>
        <v>4384</v>
      </c>
      <c r="O6" s="44">
        <f>ROUND(E6*H6*K6*L6/1000,1)</f>
        <v>0</v>
      </c>
      <c r="P6" s="44">
        <f>SUM(M6:O6)</f>
        <v>4384</v>
      </c>
      <c r="Q6" s="24">
        <v>4384</v>
      </c>
      <c r="R6" s="44">
        <f>Q6-P6</f>
        <v>0</v>
      </c>
    </row>
    <row r="7" spans="1:18" s="42" customFormat="1" ht="15.75">
      <c r="A7" s="39" t="s">
        <v>2</v>
      </c>
      <c r="B7" s="26">
        <v>12</v>
      </c>
      <c r="C7" s="109">
        <v>25</v>
      </c>
      <c r="D7" s="109">
        <v>104</v>
      </c>
      <c r="E7" s="110"/>
      <c r="F7" s="43">
        <v>76895</v>
      </c>
      <c r="G7" s="43">
        <v>61331</v>
      </c>
      <c r="H7" s="43"/>
      <c r="I7" s="41">
        <v>1</v>
      </c>
      <c r="J7" s="41">
        <v>1</v>
      </c>
      <c r="K7" s="41"/>
      <c r="L7" s="49">
        <v>0.691</v>
      </c>
      <c r="M7" s="44">
        <f aca="true" t="shared" si="0" ref="M7:M50">ROUND(C7*F7*I7*L7/1000,1)</f>
        <v>1328.4</v>
      </c>
      <c r="N7" s="44">
        <f>ROUND(D7*G7*J7*L7/1000,1)-2.2</f>
        <v>4405.3</v>
      </c>
      <c r="O7" s="44">
        <f aca="true" t="shared" si="1" ref="O7:O50">ROUND(E7*H7*K7*L7/1000,1)</f>
        <v>0</v>
      </c>
      <c r="P7" s="44">
        <f aca="true" t="shared" si="2" ref="P7:P50">SUM(M7:O7)</f>
        <v>5733.700000000001</v>
      </c>
      <c r="Q7" s="24">
        <v>5733.7</v>
      </c>
      <c r="R7" s="44">
        <f aca="true" t="shared" si="3" ref="R7:R50">Q7-P7</f>
        <v>0</v>
      </c>
    </row>
    <row r="8" spans="1:18" s="42" customFormat="1" ht="15.75">
      <c r="A8" s="39" t="s">
        <v>3</v>
      </c>
      <c r="B8" s="26">
        <v>12</v>
      </c>
      <c r="C8" s="109">
        <v>20</v>
      </c>
      <c r="D8" s="109">
        <v>122</v>
      </c>
      <c r="E8" s="108"/>
      <c r="F8" s="43">
        <v>76895</v>
      </c>
      <c r="G8" s="43">
        <v>61331</v>
      </c>
      <c r="H8" s="43"/>
      <c r="I8" s="41">
        <v>1</v>
      </c>
      <c r="J8" s="41">
        <v>1.02</v>
      </c>
      <c r="K8" s="41"/>
      <c r="L8" s="49">
        <v>0.759</v>
      </c>
      <c r="M8" s="44">
        <f t="shared" si="0"/>
        <v>1167.3</v>
      </c>
      <c r="N8" s="44">
        <f>ROUND(D8*G8*J8*L8/1000,1)-0.3</f>
        <v>5792.4</v>
      </c>
      <c r="O8" s="44">
        <f t="shared" si="1"/>
        <v>0</v>
      </c>
      <c r="P8" s="44">
        <f t="shared" si="2"/>
        <v>6959.7</v>
      </c>
      <c r="Q8" s="24">
        <v>6959.7</v>
      </c>
      <c r="R8" s="44">
        <f t="shared" si="3"/>
        <v>0</v>
      </c>
    </row>
    <row r="9" spans="1:18" s="42" customFormat="1" ht="15.75">
      <c r="A9" s="39" t="s">
        <v>4</v>
      </c>
      <c r="B9" s="26">
        <v>12</v>
      </c>
      <c r="C9" s="109">
        <v>45</v>
      </c>
      <c r="D9" s="109">
        <v>155</v>
      </c>
      <c r="E9" s="108">
        <v>43</v>
      </c>
      <c r="F9" s="43">
        <v>76895</v>
      </c>
      <c r="G9" s="43">
        <v>61331</v>
      </c>
      <c r="H9" s="43">
        <v>154044</v>
      </c>
      <c r="I9" s="41">
        <v>1</v>
      </c>
      <c r="J9" s="41">
        <v>1</v>
      </c>
      <c r="K9" s="41">
        <v>1.05</v>
      </c>
      <c r="L9" s="49">
        <v>0.738</v>
      </c>
      <c r="M9" s="44">
        <f t="shared" si="0"/>
        <v>2553.7</v>
      </c>
      <c r="N9" s="44">
        <f>ROUND(D9*G9*J9*L9/1000,1)+7.6</f>
        <v>7023.3</v>
      </c>
      <c r="O9" s="44">
        <f t="shared" si="1"/>
        <v>5132.9</v>
      </c>
      <c r="P9" s="44">
        <f t="shared" si="2"/>
        <v>14709.9</v>
      </c>
      <c r="Q9" s="24">
        <v>14709.9</v>
      </c>
      <c r="R9" s="44">
        <f t="shared" si="3"/>
        <v>0</v>
      </c>
    </row>
    <row r="10" spans="1:18" s="42" customFormat="1" ht="15.75">
      <c r="A10" s="39" t="s">
        <v>5</v>
      </c>
      <c r="B10" s="26">
        <v>12</v>
      </c>
      <c r="C10" s="109">
        <v>75</v>
      </c>
      <c r="D10" s="109">
        <v>173</v>
      </c>
      <c r="E10" s="108">
        <v>28</v>
      </c>
      <c r="F10" s="43">
        <v>76895</v>
      </c>
      <c r="G10" s="43">
        <v>61331</v>
      </c>
      <c r="H10" s="43">
        <v>154044</v>
      </c>
      <c r="I10" s="41">
        <v>1</v>
      </c>
      <c r="J10" s="41">
        <v>1.01</v>
      </c>
      <c r="K10" s="41">
        <v>1.07</v>
      </c>
      <c r="L10" s="49">
        <v>0.72</v>
      </c>
      <c r="M10" s="44">
        <f t="shared" si="0"/>
        <v>4152.3</v>
      </c>
      <c r="N10" s="44">
        <f>ROUND(D10*G10*J10*L10/1000,1)-0.4</f>
        <v>7715.400000000001</v>
      </c>
      <c r="O10" s="44">
        <f t="shared" si="1"/>
        <v>3322.9</v>
      </c>
      <c r="P10" s="44">
        <f t="shared" si="2"/>
        <v>15190.6</v>
      </c>
      <c r="Q10" s="24">
        <v>15190.6</v>
      </c>
      <c r="R10" s="44">
        <f t="shared" si="3"/>
        <v>0</v>
      </c>
    </row>
    <row r="11" spans="1:18" s="42" customFormat="1" ht="15.75">
      <c r="A11" s="39" t="s">
        <v>6</v>
      </c>
      <c r="B11" s="26">
        <v>12</v>
      </c>
      <c r="C11" s="109"/>
      <c r="D11" s="109">
        <v>160</v>
      </c>
      <c r="E11" s="110"/>
      <c r="F11" s="43"/>
      <c r="G11" s="43">
        <v>61331</v>
      </c>
      <c r="H11" s="43"/>
      <c r="I11" s="41"/>
      <c r="J11" s="41">
        <v>1</v>
      </c>
      <c r="K11" s="41"/>
      <c r="L11" s="49">
        <v>0.701</v>
      </c>
      <c r="M11" s="44">
        <f t="shared" si="0"/>
        <v>0</v>
      </c>
      <c r="N11" s="44">
        <f>ROUND(D11*G11*J11*L11/1000,1)+5.6</f>
        <v>6884.5</v>
      </c>
      <c r="O11" s="44">
        <f t="shared" si="1"/>
        <v>0</v>
      </c>
      <c r="P11" s="44">
        <f t="shared" si="2"/>
        <v>6884.5</v>
      </c>
      <c r="Q11" s="24">
        <v>6884.5</v>
      </c>
      <c r="R11" s="44">
        <f t="shared" si="3"/>
        <v>0</v>
      </c>
    </row>
    <row r="12" spans="1:18" s="42" customFormat="1" ht="15.75">
      <c r="A12" s="39" t="s">
        <v>7</v>
      </c>
      <c r="B12" s="26">
        <v>12</v>
      </c>
      <c r="C12" s="109">
        <v>25</v>
      </c>
      <c r="D12" s="109">
        <v>190</v>
      </c>
      <c r="E12" s="108">
        <v>45</v>
      </c>
      <c r="F12" s="43">
        <v>76895</v>
      </c>
      <c r="G12" s="43">
        <v>61331</v>
      </c>
      <c r="H12" s="43">
        <v>154044</v>
      </c>
      <c r="I12" s="41">
        <v>1</v>
      </c>
      <c r="J12" s="41">
        <v>1.05</v>
      </c>
      <c r="K12" s="41">
        <v>1</v>
      </c>
      <c r="L12" s="49">
        <v>0.764</v>
      </c>
      <c r="M12" s="44">
        <f t="shared" si="0"/>
        <v>1468.7</v>
      </c>
      <c r="N12" s="44">
        <f>ROUND(D12*G12*J12*L12/1000,1)+7.9</f>
        <v>9355.8</v>
      </c>
      <c r="O12" s="44">
        <f t="shared" si="1"/>
        <v>5296</v>
      </c>
      <c r="P12" s="44">
        <f t="shared" si="2"/>
        <v>16120.5</v>
      </c>
      <c r="Q12" s="24">
        <v>16120.5</v>
      </c>
      <c r="R12" s="44">
        <f t="shared" si="3"/>
        <v>0</v>
      </c>
    </row>
    <row r="13" spans="1:18" s="42" customFormat="1" ht="15.75">
      <c r="A13" s="39" t="s">
        <v>8</v>
      </c>
      <c r="B13" s="26">
        <v>12</v>
      </c>
      <c r="C13" s="109">
        <v>44</v>
      </c>
      <c r="D13" s="109">
        <v>181</v>
      </c>
      <c r="E13" s="108">
        <v>45</v>
      </c>
      <c r="F13" s="43">
        <v>76895</v>
      </c>
      <c r="G13" s="43">
        <v>61331</v>
      </c>
      <c r="H13" s="43">
        <v>154044</v>
      </c>
      <c r="I13" s="41">
        <v>1</v>
      </c>
      <c r="J13" s="41">
        <v>1</v>
      </c>
      <c r="K13" s="41">
        <v>1</v>
      </c>
      <c r="L13" s="49">
        <v>0.738</v>
      </c>
      <c r="M13" s="44">
        <f t="shared" si="0"/>
        <v>2496.9</v>
      </c>
      <c r="N13" s="44">
        <f>ROUND(D13*G13*J13*L13/1000,1)+8.1</f>
        <v>8200.6</v>
      </c>
      <c r="O13" s="44">
        <f t="shared" si="1"/>
        <v>5115.8</v>
      </c>
      <c r="P13" s="44">
        <f t="shared" si="2"/>
        <v>15813.3</v>
      </c>
      <c r="Q13" s="24">
        <v>15813.3</v>
      </c>
      <c r="R13" s="44">
        <f t="shared" si="3"/>
        <v>0</v>
      </c>
    </row>
    <row r="14" spans="1:18" s="42" customFormat="1" ht="15.75">
      <c r="A14" s="39" t="s">
        <v>9</v>
      </c>
      <c r="B14" s="26">
        <v>12</v>
      </c>
      <c r="C14" s="109">
        <v>41</v>
      </c>
      <c r="D14" s="109">
        <v>145</v>
      </c>
      <c r="E14" s="108">
        <v>37</v>
      </c>
      <c r="F14" s="43">
        <v>76895</v>
      </c>
      <c r="G14" s="43">
        <v>61331</v>
      </c>
      <c r="H14" s="43">
        <v>154044</v>
      </c>
      <c r="I14" s="41">
        <v>1</v>
      </c>
      <c r="J14" s="41">
        <v>1.03</v>
      </c>
      <c r="K14" s="41">
        <v>1</v>
      </c>
      <c r="L14" s="49">
        <v>0.777</v>
      </c>
      <c r="M14" s="44">
        <f t="shared" si="0"/>
        <v>2449.6</v>
      </c>
      <c r="N14" s="44">
        <f>ROUND(D14*G14*J14*L14/1000,1)+6.4</f>
        <v>7123.599999999999</v>
      </c>
      <c r="O14" s="44">
        <f t="shared" si="1"/>
        <v>4428.6</v>
      </c>
      <c r="P14" s="44">
        <f t="shared" si="2"/>
        <v>14001.8</v>
      </c>
      <c r="Q14" s="24">
        <v>14001.8</v>
      </c>
      <c r="R14" s="44">
        <f t="shared" si="3"/>
        <v>0</v>
      </c>
    </row>
    <row r="15" spans="1:18" s="42" customFormat="1" ht="15.75">
      <c r="A15" s="39" t="s">
        <v>10</v>
      </c>
      <c r="B15" s="26">
        <v>12</v>
      </c>
      <c r="C15" s="109">
        <v>45</v>
      </c>
      <c r="D15" s="109">
        <v>159</v>
      </c>
      <c r="E15" s="108">
        <v>30</v>
      </c>
      <c r="F15" s="43">
        <v>76895</v>
      </c>
      <c r="G15" s="43">
        <v>61331</v>
      </c>
      <c r="H15" s="43">
        <v>154044</v>
      </c>
      <c r="I15" s="41">
        <v>1</v>
      </c>
      <c r="J15" s="41">
        <v>1</v>
      </c>
      <c r="K15" s="41">
        <v>1</v>
      </c>
      <c r="L15" s="49">
        <v>0.777</v>
      </c>
      <c r="M15" s="44">
        <f t="shared" si="0"/>
        <v>2688.6</v>
      </c>
      <c r="N15" s="44">
        <f>ROUND(D15*G15*J15*L15/1000,1)+6.3</f>
        <v>7583.3</v>
      </c>
      <c r="O15" s="44">
        <f t="shared" si="1"/>
        <v>3590.8</v>
      </c>
      <c r="P15" s="44">
        <f t="shared" si="2"/>
        <v>13862.7</v>
      </c>
      <c r="Q15" s="24">
        <v>13862.7</v>
      </c>
      <c r="R15" s="44">
        <f t="shared" si="3"/>
        <v>0</v>
      </c>
    </row>
    <row r="16" spans="1:18" s="42" customFormat="1" ht="15.75">
      <c r="A16" s="39" t="s">
        <v>11</v>
      </c>
      <c r="B16" s="26">
        <v>12</v>
      </c>
      <c r="C16" s="111">
        <v>22</v>
      </c>
      <c r="D16" s="111">
        <v>51</v>
      </c>
      <c r="E16" s="112">
        <v>16</v>
      </c>
      <c r="F16" s="43">
        <v>81831</v>
      </c>
      <c r="G16" s="43">
        <v>65475</v>
      </c>
      <c r="H16" s="43">
        <v>169106</v>
      </c>
      <c r="I16" s="41">
        <v>1</v>
      </c>
      <c r="J16" s="41">
        <v>1</v>
      </c>
      <c r="K16" s="41">
        <v>1</v>
      </c>
      <c r="L16" s="49">
        <v>0.723</v>
      </c>
      <c r="M16" s="44">
        <f t="shared" si="0"/>
        <v>1301.6</v>
      </c>
      <c r="N16" s="44">
        <f>ROUND(D16*G16*J16*L16/1000,1)+1.7</f>
        <v>2416</v>
      </c>
      <c r="O16" s="44">
        <f t="shared" si="1"/>
        <v>1956.2</v>
      </c>
      <c r="P16" s="44">
        <f t="shared" si="2"/>
        <v>5673.8</v>
      </c>
      <c r="Q16" s="24">
        <v>5673.8</v>
      </c>
      <c r="R16" s="44">
        <f t="shared" si="3"/>
        <v>0</v>
      </c>
    </row>
    <row r="17" spans="1:18" s="42" customFormat="1" ht="15.75">
      <c r="A17" s="39" t="s">
        <v>25</v>
      </c>
      <c r="B17" s="40">
        <v>10</v>
      </c>
      <c r="C17" s="109"/>
      <c r="D17" s="109">
        <v>26</v>
      </c>
      <c r="E17" s="110"/>
      <c r="F17" s="43"/>
      <c r="G17" s="43">
        <v>53325</v>
      </c>
      <c r="H17" s="43"/>
      <c r="I17" s="41"/>
      <c r="J17" s="41">
        <v>1</v>
      </c>
      <c r="K17" s="41"/>
      <c r="L17" s="49">
        <v>0.899</v>
      </c>
      <c r="M17" s="44">
        <f t="shared" si="0"/>
        <v>0</v>
      </c>
      <c r="N17" s="44">
        <f>ROUND(D17*G17*J17*L17/1000,1)+3.9</f>
        <v>1250.3000000000002</v>
      </c>
      <c r="O17" s="44">
        <f t="shared" si="1"/>
        <v>0</v>
      </c>
      <c r="P17" s="44">
        <f t="shared" si="2"/>
        <v>1250.3000000000002</v>
      </c>
      <c r="Q17" s="24">
        <v>1250.3</v>
      </c>
      <c r="R17" s="44">
        <f t="shared" si="3"/>
        <v>0</v>
      </c>
    </row>
    <row r="18" spans="1:18" s="42" customFormat="1" ht="15.75">
      <c r="A18" s="39" t="s">
        <v>24</v>
      </c>
      <c r="B18" s="40">
        <v>10</v>
      </c>
      <c r="C18" s="109"/>
      <c r="D18" s="109">
        <v>25</v>
      </c>
      <c r="E18" s="108"/>
      <c r="F18" s="43"/>
      <c r="G18" s="43">
        <v>53325</v>
      </c>
      <c r="H18" s="43"/>
      <c r="I18" s="41"/>
      <c r="J18" s="41">
        <v>1</v>
      </c>
      <c r="K18" s="41"/>
      <c r="L18" s="49">
        <v>1.218</v>
      </c>
      <c r="M18" s="44">
        <f t="shared" si="0"/>
        <v>0</v>
      </c>
      <c r="N18" s="44">
        <f>ROUND(D18*G18*J18*L18/1000,1)+1.7</f>
        <v>1625.4</v>
      </c>
      <c r="O18" s="44">
        <f t="shared" si="1"/>
        <v>0</v>
      </c>
      <c r="P18" s="44">
        <f t="shared" si="2"/>
        <v>1625.4</v>
      </c>
      <c r="Q18" s="24">
        <v>1625.4</v>
      </c>
      <c r="R18" s="44">
        <f t="shared" si="3"/>
        <v>0</v>
      </c>
    </row>
    <row r="19" spans="1:18" s="42" customFormat="1" ht="15.75">
      <c r="A19" s="39" t="s">
        <v>12</v>
      </c>
      <c r="B19" s="40">
        <v>10</v>
      </c>
      <c r="C19" s="109"/>
      <c r="D19" s="109">
        <v>86</v>
      </c>
      <c r="E19" s="108"/>
      <c r="F19" s="43"/>
      <c r="G19" s="43">
        <v>53325</v>
      </c>
      <c r="H19" s="43"/>
      <c r="I19" s="41"/>
      <c r="J19" s="41">
        <v>1</v>
      </c>
      <c r="K19" s="41"/>
      <c r="L19" s="49">
        <v>0.669</v>
      </c>
      <c r="M19" s="44">
        <f t="shared" si="0"/>
        <v>0</v>
      </c>
      <c r="N19" s="44">
        <f>ROUND(D19*G19*J19*L19/1000,1)+0.3</f>
        <v>3068.3</v>
      </c>
      <c r="O19" s="44">
        <f t="shared" si="1"/>
        <v>0</v>
      </c>
      <c r="P19" s="44">
        <f t="shared" si="2"/>
        <v>3068.3</v>
      </c>
      <c r="Q19" s="24">
        <v>3068.3</v>
      </c>
      <c r="R19" s="44">
        <f t="shared" si="3"/>
        <v>0</v>
      </c>
    </row>
    <row r="20" spans="1:18" s="42" customFormat="1" ht="15.75">
      <c r="A20" s="39" t="s">
        <v>13</v>
      </c>
      <c r="B20" s="40">
        <v>10</v>
      </c>
      <c r="C20" s="109"/>
      <c r="D20" s="109">
        <v>45</v>
      </c>
      <c r="E20" s="108"/>
      <c r="F20" s="43"/>
      <c r="G20" s="43">
        <v>53325</v>
      </c>
      <c r="H20" s="43"/>
      <c r="I20" s="41"/>
      <c r="J20" s="41">
        <v>1.11</v>
      </c>
      <c r="K20" s="41"/>
      <c r="L20" s="49">
        <v>0.843</v>
      </c>
      <c r="M20" s="44">
        <f t="shared" si="0"/>
        <v>0</v>
      </c>
      <c r="N20" s="44">
        <f>ROUND(D20*G20*J20*L20/1000,1)+1</f>
        <v>2246.4</v>
      </c>
      <c r="O20" s="44">
        <f t="shared" si="1"/>
        <v>0</v>
      </c>
      <c r="P20" s="44">
        <f t="shared" si="2"/>
        <v>2246.4</v>
      </c>
      <c r="Q20" s="24">
        <v>2246.4</v>
      </c>
      <c r="R20" s="44">
        <f t="shared" si="3"/>
        <v>0</v>
      </c>
    </row>
    <row r="21" spans="1:18" s="42" customFormat="1" ht="15.75">
      <c r="A21" s="39" t="s">
        <v>14</v>
      </c>
      <c r="B21" s="40">
        <v>10</v>
      </c>
      <c r="C21" s="109"/>
      <c r="D21" s="109">
        <v>50</v>
      </c>
      <c r="E21" s="108"/>
      <c r="F21" s="43"/>
      <c r="G21" s="43">
        <v>53325</v>
      </c>
      <c r="H21" s="43"/>
      <c r="I21" s="41"/>
      <c r="J21" s="41">
        <v>1</v>
      </c>
      <c r="K21" s="41"/>
      <c r="L21" s="49">
        <v>0.802</v>
      </c>
      <c r="M21" s="44">
        <f t="shared" si="0"/>
        <v>0</v>
      </c>
      <c r="N21" s="44">
        <f>ROUND(D21*G21*J21*L21/1000,1)+0.7</f>
        <v>2139</v>
      </c>
      <c r="O21" s="44">
        <f t="shared" si="1"/>
        <v>0</v>
      </c>
      <c r="P21" s="44">
        <f t="shared" si="2"/>
        <v>2139</v>
      </c>
      <c r="Q21" s="24">
        <v>2139</v>
      </c>
      <c r="R21" s="44">
        <f t="shared" si="3"/>
        <v>0</v>
      </c>
    </row>
    <row r="22" spans="1:18" s="42" customFormat="1" ht="16.5" customHeight="1">
      <c r="A22" s="39" t="s">
        <v>15</v>
      </c>
      <c r="B22" s="40">
        <v>10</v>
      </c>
      <c r="C22" s="109"/>
      <c r="D22" s="109">
        <v>64</v>
      </c>
      <c r="E22" s="108"/>
      <c r="F22" s="43"/>
      <c r="G22" s="43">
        <v>53325</v>
      </c>
      <c r="H22" s="43"/>
      <c r="I22" s="41"/>
      <c r="J22" s="41">
        <v>1</v>
      </c>
      <c r="K22" s="41"/>
      <c r="L22" s="49">
        <v>0.673</v>
      </c>
      <c r="M22" s="44">
        <f t="shared" si="0"/>
        <v>0</v>
      </c>
      <c r="N22" s="44">
        <f>ROUND(D22*G22*J22*L22/1000,1)+1.5</f>
        <v>2298.3</v>
      </c>
      <c r="O22" s="44">
        <f t="shared" si="1"/>
        <v>0</v>
      </c>
      <c r="P22" s="44">
        <f t="shared" si="2"/>
        <v>2298.3</v>
      </c>
      <c r="Q22" s="24">
        <v>2298.3</v>
      </c>
      <c r="R22" s="44">
        <f t="shared" si="3"/>
        <v>0</v>
      </c>
    </row>
    <row r="23" spans="1:18" s="42" customFormat="1" ht="19.5" customHeight="1">
      <c r="A23" s="39" t="s">
        <v>26</v>
      </c>
      <c r="B23" s="40">
        <v>9</v>
      </c>
      <c r="C23" s="109"/>
      <c r="D23" s="109">
        <v>18</v>
      </c>
      <c r="E23" s="113"/>
      <c r="F23" s="43"/>
      <c r="G23" s="43">
        <v>48576</v>
      </c>
      <c r="H23" s="43"/>
      <c r="I23" s="41"/>
      <c r="J23" s="41">
        <v>1.39</v>
      </c>
      <c r="K23" s="41"/>
      <c r="L23" s="49">
        <v>0.935</v>
      </c>
      <c r="M23" s="44">
        <f t="shared" si="0"/>
        <v>0</v>
      </c>
      <c r="N23" s="44">
        <f>ROUND(D23*G23*J23*L23/1000,1)+1.9</f>
        <v>1138.3000000000002</v>
      </c>
      <c r="O23" s="44">
        <f t="shared" si="1"/>
        <v>0</v>
      </c>
      <c r="P23" s="44">
        <f t="shared" si="2"/>
        <v>1138.3000000000002</v>
      </c>
      <c r="Q23" s="24">
        <v>1138.3</v>
      </c>
      <c r="R23" s="44">
        <f t="shared" si="3"/>
        <v>0</v>
      </c>
    </row>
    <row r="24" spans="1:18" s="42" customFormat="1" ht="19.5" customHeight="1">
      <c r="A24" s="39" t="s">
        <v>27</v>
      </c>
      <c r="B24" s="40">
        <v>9</v>
      </c>
      <c r="C24" s="109"/>
      <c r="D24" s="109">
        <v>8</v>
      </c>
      <c r="E24" s="108"/>
      <c r="F24" s="43"/>
      <c r="G24" s="43">
        <v>48576</v>
      </c>
      <c r="H24" s="43"/>
      <c r="I24" s="41"/>
      <c r="J24" s="41">
        <v>3.12</v>
      </c>
      <c r="K24" s="41"/>
      <c r="L24" s="49">
        <v>0.921</v>
      </c>
      <c r="M24" s="44">
        <f t="shared" si="0"/>
        <v>0</v>
      </c>
      <c r="N24" s="44">
        <f>ROUND(D24*G24*J24*L24/1000,1)+0.4</f>
        <v>1117.1000000000001</v>
      </c>
      <c r="O24" s="44">
        <f t="shared" si="1"/>
        <v>0</v>
      </c>
      <c r="P24" s="44">
        <f t="shared" si="2"/>
        <v>1117.1000000000001</v>
      </c>
      <c r="Q24" s="24">
        <v>1117.1</v>
      </c>
      <c r="R24" s="44">
        <f t="shared" si="3"/>
        <v>0</v>
      </c>
    </row>
    <row r="25" spans="1:18" s="42" customFormat="1" ht="19.5" customHeight="1">
      <c r="A25" s="39" t="s">
        <v>28</v>
      </c>
      <c r="B25" s="40">
        <v>9</v>
      </c>
      <c r="C25" s="109"/>
      <c r="D25" s="109">
        <v>12</v>
      </c>
      <c r="E25" s="108"/>
      <c r="F25" s="43"/>
      <c r="G25" s="43">
        <v>48576</v>
      </c>
      <c r="H25" s="43"/>
      <c r="I25" s="41"/>
      <c r="J25" s="41">
        <v>2.08</v>
      </c>
      <c r="K25" s="41"/>
      <c r="L25" s="49">
        <v>0.942</v>
      </c>
      <c r="M25" s="44">
        <f t="shared" si="0"/>
        <v>0</v>
      </c>
      <c r="N25" s="44">
        <f>ROUND(D25*G25*J25*L25/1000,1)+1.3</f>
        <v>1143.3999999999999</v>
      </c>
      <c r="O25" s="44">
        <f t="shared" si="1"/>
        <v>0</v>
      </c>
      <c r="P25" s="44">
        <f t="shared" si="2"/>
        <v>1143.3999999999999</v>
      </c>
      <c r="Q25" s="24">
        <v>1143.4</v>
      </c>
      <c r="R25" s="44">
        <f t="shared" si="3"/>
        <v>0</v>
      </c>
    </row>
    <row r="26" spans="1:18" s="42" customFormat="1" ht="19.5" customHeight="1">
      <c r="A26" s="39" t="s">
        <v>29</v>
      </c>
      <c r="B26" s="40">
        <v>10</v>
      </c>
      <c r="C26" s="109"/>
      <c r="D26" s="109">
        <v>27</v>
      </c>
      <c r="E26" s="108"/>
      <c r="F26" s="43"/>
      <c r="G26" s="43">
        <v>53325</v>
      </c>
      <c r="H26" s="43"/>
      <c r="I26" s="41"/>
      <c r="J26" s="41">
        <v>1</v>
      </c>
      <c r="K26" s="41"/>
      <c r="L26" s="49">
        <v>0.865</v>
      </c>
      <c r="M26" s="44">
        <f t="shared" si="0"/>
        <v>0</v>
      </c>
      <c r="N26" s="44">
        <f>ROUND(D26*G26*J26*L26/1000,1)+1.5</f>
        <v>1246.9</v>
      </c>
      <c r="O26" s="44">
        <f t="shared" si="1"/>
        <v>0</v>
      </c>
      <c r="P26" s="44">
        <f t="shared" si="2"/>
        <v>1246.9</v>
      </c>
      <c r="Q26" s="24">
        <v>1246.9</v>
      </c>
      <c r="R26" s="44">
        <f t="shared" si="3"/>
        <v>0</v>
      </c>
    </row>
    <row r="27" spans="1:18" s="42" customFormat="1" ht="15.75">
      <c r="A27" s="39" t="s">
        <v>16</v>
      </c>
      <c r="B27" s="26">
        <v>10</v>
      </c>
      <c r="C27" s="107"/>
      <c r="D27" s="107">
        <v>95</v>
      </c>
      <c r="E27" s="108"/>
      <c r="F27" s="43"/>
      <c r="G27" s="43">
        <v>53325</v>
      </c>
      <c r="H27" s="43"/>
      <c r="I27" s="41"/>
      <c r="J27" s="41">
        <v>1.05</v>
      </c>
      <c r="K27" s="41"/>
      <c r="L27" s="49">
        <v>0.787</v>
      </c>
      <c r="M27" s="44">
        <f t="shared" si="0"/>
        <v>0</v>
      </c>
      <c r="N27" s="44">
        <f>ROUND(D27*G27*J27*L27/1000,1)+0.4</f>
        <v>4186.599999999999</v>
      </c>
      <c r="O27" s="44">
        <f t="shared" si="1"/>
        <v>0</v>
      </c>
      <c r="P27" s="44">
        <f t="shared" si="2"/>
        <v>4186.599999999999</v>
      </c>
      <c r="Q27" s="24">
        <v>4186.6</v>
      </c>
      <c r="R27" s="44">
        <f t="shared" si="3"/>
        <v>0</v>
      </c>
    </row>
    <row r="28" spans="1:18" s="42" customFormat="1" ht="15.75">
      <c r="A28" s="39" t="s">
        <v>17</v>
      </c>
      <c r="B28" s="40">
        <v>10</v>
      </c>
      <c r="C28" s="109"/>
      <c r="D28" s="109">
        <v>74</v>
      </c>
      <c r="E28" s="108">
        <v>17</v>
      </c>
      <c r="F28" s="43"/>
      <c r="G28" s="43">
        <v>53325</v>
      </c>
      <c r="H28" s="43">
        <v>152932</v>
      </c>
      <c r="I28" s="41"/>
      <c r="J28" s="41">
        <v>1.01</v>
      </c>
      <c r="K28" s="41">
        <v>1</v>
      </c>
      <c r="L28" s="49">
        <v>0.813</v>
      </c>
      <c r="M28" s="44">
        <f t="shared" si="0"/>
        <v>0</v>
      </c>
      <c r="N28" s="44">
        <f>ROUND(D28*G28*J28*L28/1000,1)+0.7</f>
        <v>3240.8999999999996</v>
      </c>
      <c r="O28" s="44">
        <f t="shared" si="1"/>
        <v>2113.7</v>
      </c>
      <c r="P28" s="44">
        <f t="shared" si="2"/>
        <v>5354.599999999999</v>
      </c>
      <c r="Q28" s="24">
        <v>5354.6</v>
      </c>
      <c r="R28" s="44">
        <f t="shared" si="3"/>
        <v>0</v>
      </c>
    </row>
    <row r="29" spans="1:18" s="42" customFormat="1" ht="21" customHeight="1">
      <c r="A29" s="39" t="s">
        <v>18</v>
      </c>
      <c r="B29" s="40">
        <v>10</v>
      </c>
      <c r="C29" s="109">
        <v>21</v>
      </c>
      <c r="D29" s="109">
        <v>52</v>
      </c>
      <c r="E29" s="113">
        <v>44</v>
      </c>
      <c r="F29" s="43">
        <v>64122</v>
      </c>
      <c r="G29" s="43">
        <v>53325</v>
      </c>
      <c r="H29" s="43">
        <v>152932</v>
      </c>
      <c r="I29" s="41">
        <v>1</v>
      </c>
      <c r="J29" s="41">
        <v>1</v>
      </c>
      <c r="K29" s="41">
        <v>1</v>
      </c>
      <c r="L29" s="49">
        <v>0.641</v>
      </c>
      <c r="M29" s="44">
        <f t="shared" si="0"/>
        <v>863.1</v>
      </c>
      <c r="N29" s="44">
        <f>ROUND(D29*G29*J29*L29/1000,1)-0.5</f>
        <v>1776.9</v>
      </c>
      <c r="O29" s="44">
        <f t="shared" si="1"/>
        <v>4313.3</v>
      </c>
      <c r="P29" s="44">
        <f t="shared" si="2"/>
        <v>6953.3</v>
      </c>
      <c r="Q29" s="24">
        <v>6953.3</v>
      </c>
      <c r="R29" s="44">
        <f t="shared" si="3"/>
        <v>0</v>
      </c>
    </row>
    <row r="30" spans="1:18" s="42" customFormat="1" ht="15.75">
      <c r="A30" s="39" t="s">
        <v>19</v>
      </c>
      <c r="B30" s="40">
        <v>10</v>
      </c>
      <c r="C30" s="109">
        <v>18</v>
      </c>
      <c r="D30" s="109">
        <v>119</v>
      </c>
      <c r="E30" s="110"/>
      <c r="F30" s="43">
        <v>64122</v>
      </c>
      <c r="G30" s="43">
        <v>53325</v>
      </c>
      <c r="H30" s="43"/>
      <c r="I30" s="41">
        <v>1.11</v>
      </c>
      <c r="J30" s="41">
        <v>1</v>
      </c>
      <c r="K30" s="41"/>
      <c r="L30" s="49">
        <v>0.629</v>
      </c>
      <c r="M30" s="44">
        <f t="shared" si="0"/>
        <v>805.8</v>
      </c>
      <c r="N30" s="44">
        <f>ROUND(D30*G30*J30*L30/1000,1)+0.3</f>
        <v>3991.7000000000003</v>
      </c>
      <c r="O30" s="44">
        <f t="shared" si="1"/>
        <v>0</v>
      </c>
      <c r="P30" s="44">
        <f t="shared" si="2"/>
        <v>4797.5</v>
      </c>
      <c r="Q30" s="24">
        <v>4797.5</v>
      </c>
      <c r="R30" s="44">
        <f t="shared" si="3"/>
        <v>0</v>
      </c>
    </row>
    <row r="31" spans="1:18" s="42" customFormat="1" ht="15.75">
      <c r="A31" s="39" t="s">
        <v>20</v>
      </c>
      <c r="B31" s="40">
        <v>10</v>
      </c>
      <c r="C31" s="109">
        <v>24</v>
      </c>
      <c r="D31" s="109">
        <v>112</v>
      </c>
      <c r="E31" s="110"/>
      <c r="F31" s="43">
        <v>64122</v>
      </c>
      <c r="G31" s="43">
        <v>53325</v>
      </c>
      <c r="H31" s="43"/>
      <c r="I31" s="41">
        <v>1</v>
      </c>
      <c r="J31" s="41">
        <v>1.12</v>
      </c>
      <c r="K31" s="41"/>
      <c r="L31" s="49">
        <v>0.68</v>
      </c>
      <c r="M31" s="44">
        <f t="shared" si="0"/>
        <v>1046.5</v>
      </c>
      <c r="N31" s="44">
        <f>ROUND(D31*G31*J31*L31/1000,1)-0.8</f>
        <v>4547.8</v>
      </c>
      <c r="O31" s="44">
        <f t="shared" si="1"/>
        <v>0</v>
      </c>
      <c r="P31" s="44">
        <f t="shared" si="2"/>
        <v>5594.3</v>
      </c>
      <c r="Q31" s="24">
        <v>5594.3</v>
      </c>
      <c r="R31" s="44">
        <f t="shared" si="3"/>
        <v>0</v>
      </c>
    </row>
    <row r="32" spans="1:18" s="42" customFormat="1" ht="20.25" customHeight="1">
      <c r="A32" s="39" t="s">
        <v>30</v>
      </c>
      <c r="B32" s="40">
        <v>10</v>
      </c>
      <c r="C32" s="109"/>
      <c r="D32" s="109">
        <v>20</v>
      </c>
      <c r="E32" s="110"/>
      <c r="F32" s="43"/>
      <c r="G32" s="43">
        <v>53325</v>
      </c>
      <c r="H32" s="43"/>
      <c r="I32" s="41"/>
      <c r="J32" s="41">
        <v>1.25</v>
      </c>
      <c r="K32" s="41"/>
      <c r="L32" s="49">
        <v>0.865</v>
      </c>
      <c r="M32" s="44">
        <f t="shared" si="0"/>
        <v>0</v>
      </c>
      <c r="N32" s="44">
        <f>ROUND(D32*G32*J32*L32/1000,1)+1.5</f>
        <v>1154.7</v>
      </c>
      <c r="O32" s="44">
        <f t="shared" si="1"/>
        <v>0</v>
      </c>
      <c r="P32" s="44">
        <f t="shared" si="2"/>
        <v>1154.7</v>
      </c>
      <c r="Q32" s="24">
        <v>1154.7</v>
      </c>
      <c r="R32" s="44">
        <f t="shared" si="3"/>
        <v>0</v>
      </c>
    </row>
    <row r="33" spans="1:18" s="42" customFormat="1" ht="15.75">
      <c r="A33" s="39" t="s">
        <v>31</v>
      </c>
      <c r="B33" s="40">
        <v>10</v>
      </c>
      <c r="C33" s="109"/>
      <c r="D33" s="109">
        <v>18</v>
      </c>
      <c r="E33" s="110"/>
      <c r="F33" s="43"/>
      <c r="G33" s="43">
        <v>53325</v>
      </c>
      <c r="H33" s="43"/>
      <c r="I33" s="41"/>
      <c r="J33" s="41">
        <v>1.39</v>
      </c>
      <c r="K33" s="41"/>
      <c r="L33" s="49">
        <v>0.915</v>
      </c>
      <c r="M33" s="44">
        <f t="shared" si="0"/>
        <v>0</v>
      </c>
      <c r="N33" s="44">
        <f>ROUND(D33*G33*J33*L33/1000,1)-0.1</f>
        <v>1220.7</v>
      </c>
      <c r="O33" s="44">
        <f t="shared" si="1"/>
        <v>0</v>
      </c>
      <c r="P33" s="44">
        <f t="shared" si="2"/>
        <v>1220.7</v>
      </c>
      <c r="Q33" s="24">
        <v>1220.7</v>
      </c>
      <c r="R33" s="44">
        <f t="shared" si="3"/>
        <v>0</v>
      </c>
    </row>
    <row r="34" spans="1:18" s="42" customFormat="1" ht="21" customHeight="1">
      <c r="A34" s="39" t="s">
        <v>21</v>
      </c>
      <c r="B34" s="40">
        <v>10</v>
      </c>
      <c r="C34" s="109"/>
      <c r="D34" s="109">
        <v>62</v>
      </c>
      <c r="E34" s="110"/>
      <c r="F34" s="43"/>
      <c r="G34" s="43">
        <v>53325</v>
      </c>
      <c r="H34" s="43"/>
      <c r="I34" s="41"/>
      <c r="J34" s="41">
        <v>1</v>
      </c>
      <c r="K34" s="41"/>
      <c r="L34" s="49">
        <v>0.649</v>
      </c>
      <c r="M34" s="44">
        <f t="shared" si="0"/>
        <v>0</v>
      </c>
      <c r="N34" s="44">
        <f>ROUND(D34*G34*J34*L34/1000,1)+2</f>
        <v>2147.7</v>
      </c>
      <c r="O34" s="44">
        <f t="shared" si="1"/>
        <v>0</v>
      </c>
      <c r="P34" s="44">
        <f t="shared" si="2"/>
        <v>2147.7</v>
      </c>
      <c r="Q34" s="24">
        <v>2147.7</v>
      </c>
      <c r="R34" s="44">
        <f t="shared" si="3"/>
        <v>0</v>
      </c>
    </row>
    <row r="35" spans="1:18" s="42" customFormat="1" ht="21" customHeight="1">
      <c r="A35" s="39" t="s">
        <v>32</v>
      </c>
      <c r="B35" s="40">
        <v>9</v>
      </c>
      <c r="C35" s="109"/>
      <c r="D35" s="109">
        <v>12</v>
      </c>
      <c r="E35" s="110"/>
      <c r="F35" s="43"/>
      <c r="G35" s="43">
        <v>48576</v>
      </c>
      <c r="H35" s="43"/>
      <c r="I35" s="41"/>
      <c r="J35" s="41">
        <v>2.08</v>
      </c>
      <c r="K35" s="41"/>
      <c r="L35" s="49">
        <v>0.92</v>
      </c>
      <c r="M35" s="44">
        <f t="shared" si="0"/>
        <v>0</v>
      </c>
      <c r="N35" s="44">
        <f>ROUND(D35*G35*J35*L35/1000,1)+0.4</f>
        <v>1115.9</v>
      </c>
      <c r="O35" s="44">
        <f t="shared" si="1"/>
        <v>0</v>
      </c>
      <c r="P35" s="44">
        <f t="shared" si="2"/>
        <v>1115.9</v>
      </c>
      <c r="Q35" s="24">
        <v>1115.9</v>
      </c>
      <c r="R35" s="44">
        <f t="shared" si="3"/>
        <v>0</v>
      </c>
    </row>
    <row r="36" spans="1:18" s="42" customFormat="1" ht="15.75">
      <c r="A36" s="39" t="s">
        <v>33</v>
      </c>
      <c r="B36" s="40">
        <v>10</v>
      </c>
      <c r="C36" s="109"/>
      <c r="D36" s="109">
        <v>31</v>
      </c>
      <c r="E36" s="110"/>
      <c r="F36" s="43"/>
      <c r="G36" s="43">
        <v>53325</v>
      </c>
      <c r="H36" s="43"/>
      <c r="I36" s="41"/>
      <c r="J36" s="41">
        <v>1.61</v>
      </c>
      <c r="K36" s="41"/>
      <c r="L36" s="49">
        <v>0.75</v>
      </c>
      <c r="M36" s="44">
        <f t="shared" si="0"/>
        <v>0</v>
      </c>
      <c r="N36" s="44">
        <f>ROUND(D36*G36*J36*L36/1000,1)+0.8</f>
        <v>1996.8999999999999</v>
      </c>
      <c r="O36" s="44">
        <f t="shared" si="1"/>
        <v>0</v>
      </c>
      <c r="P36" s="44">
        <f t="shared" si="2"/>
        <v>1996.8999999999999</v>
      </c>
      <c r="Q36" s="24">
        <v>1996.9</v>
      </c>
      <c r="R36" s="44">
        <f t="shared" si="3"/>
        <v>0</v>
      </c>
    </row>
    <row r="37" spans="1:18" s="42" customFormat="1" ht="15.75">
      <c r="A37" s="39" t="s">
        <v>34</v>
      </c>
      <c r="B37" s="40">
        <v>10</v>
      </c>
      <c r="C37" s="109"/>
      <c r="D37" s="109">
        <v>26</v>
      </c>
      <c r="E37" s="110"/>
      <c r="F37" s="43"/>
      <c r="G37" s="43">
        <v>53325</v>
      </c>
      <c r="H37" s="43"/>
      <c r="I37" s="41"/>
      <c r="J37" s="41">
        <v>1</v>
      </c>
      <c r="K37" s="41"/>
      <c r="L37" s="49">
        <v>0.95</v>
      </c>
      <c r="M37" s="44">
        <f t="shared" si="0"/>
        <v>0</v>
      </c>
      <c r="N37" s="44">
        <f>ROUND(D37*G37*J37*L37/1000,1)-0.7</f>
        <v>1316.3999999999999</v>
      </c>
      <c r="O37" s="44">
        <f t="shared" si="1"/>
        <v>0</v>
      </c>
      <c r="P37" s="44">
        <f t="shared" si="2"/>
        <v>1316.3999999999999</v>
      </c>
      <c r="Q37" s="24">
        <v>1316.4</v>
      </c>
      <c r="R37" s="44">
        <f t="shared" si="3"/>
        <v>0</v>
      </c>
    </row>
    <row r="38" spans="1:18" s="42" customFormat="1" ht="15.75">
      <c r="A38" s="39" t="s">
        <v>35</v>
      </c>
      <c r="B38" s="40">
        <v>10</v>
      </c>
      <c r="C38" s="109"/>
      <c r="D38" s="109">
        <v>34</v>
      </c>
      <c r="E38" s="114"/>
      <c r="F38" s="43"/>
      <c r="G38" s="43">
        <v>53325</v>
      </c>
      <c r="H38" s="43"/>
      <c r="I38" s="41"/>
      <c r="J38" s="41">
        <v>1.47</v>
      </c>
      <c r="K38" s="41"/>
      <c r="L38" s="49">
        <v>0.9</v>
      </c>
      <c r="M38" s="44">
        <f t="shared" si="0"/>
        <v>0</v>
      </c>
      <c r="N38" s="44">
        <f>ROUND(D38*G38*J38*L38/1000,1)-0.8</f>
        <v>2397.8999999999996</v>
      </c>
      <c r="O38" s="44">
        <f t="shared" si="1"/>
        <v>0</v>
      </c>
      <c r="P38" s="44">
        <f t="shared" si="2"/>
        <v>2397.8999999999996</v>
      </c>
      <c r="Q38" s="24">
        <v>2397.9</v>
      </c>
      <c r="R38" s="44">
        <f t="shared" si="3"/>
        <v>0</v>
      </c>
    </row>
    <row r="39" spans="1:18" s="42" customFormat="1" ht="16.5" customHeight="1">
      <c r="A39" s="39" t="s">
        <v>36</v>
      </c>
      <c r="B39" s="40">
        <v>9</v>
      </c>
      <c r="C39" s="109"/>
      <c r="D39" s="109">
        <v>22</v>
      </c>
      <c r="E39" s="108"/>
      <c r="F39" s="43"/>
      <c r="G39" s="43">
        <v>48576</v>
      </c>
      <c r="H39" s="43"/>
      <c r="I39" s="41"/>
      <c r="J39" s="41">
        <v>1.14</v>
      </c>
      <c r="K39" s="41"/>
      <c r="L39" s="49">
        <v>0.923</v>
      </c>
      <c r="M39" s="44">
        <f t="shared" si="0"/>
        <v>0</v>
      </c>
      <c r="N39" s="44">
        <f>ROUND(D39*G39*J39*L39/1000,1)+0.6</f>
        <v>1125.1</v>
      </c>
      <c r="O39" s="44">
        <f t="shared" si="1"/>
        <v>0</v>
      </c>
      <c r="P39" s="44">
        <f t="shared" si="2"/>
        <v>1125.1</v>
      </c>
      <c r="Q39" s="24">
        <v>1125.1</v>
      </c>
      <c r="R39" s="44">
        <f t="shared" si="3"/>
        <v>0</v>
      </c>
    </row>
    <row r="40" spans="1:18" s="42" customFormat="1" ht="15" customHeight="1">
      <c r="A40" s="39" t="s">
        <v>37</v>
      </c>
      <c r="B40" s="40">
        <v>10</v>
      </c>
      <c r="C40" s="109"/>
      <c r="D40" s="109">
        <v>34</v>
      </c>
      <c r="E40" s="110"/>
      <c r="F40" s="43"/>
      <c r="G40" s="43">
        <v>53325</v>
      </c>
      <c r="H40" s="43"/>
      <c r="I40" s="41"/>
      <c r="J40" s="41">
        <v>1.47</v>
      </c>
      <c r="K40" s="41"/>
      <c r="L40" s="49">
        <v>0.835</v>
      </c>
      <c r="M40" s="44">
        <f t="shared" si="0"/>
        <v>0</v>
      </c>
      <c r="N40" s="44">
        <f>ROUND(D40*G40*J40*L40/1000,1)-0.5</f>
        <v>2224.9</v>
      </c>
      <c r="O40" s="44">
        <f t="shared" si="1"/>
        <v>0</v>
      </c>
      <c r="P40" s="44">
        <f t="shared" si="2"/>
        <v>2224.9</v>
      </c>
      <c r="Q40" s="24">
        <v>2224.9</v>
      </c>
      <c r="R40" s="44">
        <f t="shared" si="3"/>
        <v>0</v>
      </c>
    </row>
    <row r="41" spans="1:18" s="42" customFormat="1" ht="18.75" customHeight="1">
      <c r="A41" s="39" t="s">
        <v>38</v>
      </c>
      <c r="B41" s="40">
        <v>10</v>
      </c>
      <c r="C41" s="109"/>
      <c r="D41" s="109">
        <v>63</v>
      </c>
      <c r="E41" s="110"/>
      <c r="F41" s="43"/>
      <c r="G41" s="43">
        <v>53325</v>
      </c>
      <c r="H41" s="43"/>
      <c r="I41" s="41"/>
      <c r="J41" s="41">
        <v>1.19</v>
      </c>
      <c r="K41" s="41"/>
      <c r="L41" s="49">
        <v>0.792</v>
      </c>
      <c r="M41" s="44">
        <f t="shared" si="0"/>
        <v>0</v>
      </c>
      <c r="N41" s="44">
        <f>ROUND(D41*G41*J41*L41/1000,1)+2.1</f>
        <v>3168.2999999999997</v>
      </c>
      <c r="O41" s="44">
        <f t="shared" si="1"/>
        <v>0</v>
      </c>
      <c r="P41" s="44">
        <f t="shared" si="2"/>
        <v>3168.2999999999997</v>
      </c>
      <c r="Q41" s="24">
        <v>3168.3</v>
      </c>
      <c r="R41" s="44">
        <f t="shared" si="3"/>
        <v>0</v>
      </c>
    </row>
    <row r="42" spans="1:18" s="42" customFormat="1" ht="15.75">
      <c r="A42" s="39" t="s">
        <v>39</v>
      </c>
      <c r="B42" s="40">
        <v>9</v>
      </c>
      <c r="C42" s="115"/>
      <c r="D42" s="115">
        <v>12</v>
      </c>
      <c r="E42" s="116"/>
      <c r="F42" s="43"/>
      <c r="G42" s="43">
        <v>48576</v>
      </c>
      <c r="H42" s="43"/>
      <c r="I42" s="41"/>
      <c r="J42" s="41">
        <v>2.08</v>
      </c>
      <c r="K42" s="41"/>
      <c r="L42" s="49">
        <v>0.923</v>
      </c>
      <c r="M42" s="44">
        <f t="shared" si="0"/>
        <v>0</v>
      </c>
      <c r="N42" s="44">
        <f>ROUND(D42*G42*J42*L42/1000,1)+0.5</f>
        <v>1119.6</v>
      </c>
      <c r="O42" s="44">
        <f t="shared" si="1"/>
        <v>0</v>
      </c>
      <c r="P42" s="44">
        <f t="shared" si="2"/>
        <v>1119.6</v>
      </c>
      <c r="Q42" s="24">
        <v>1119.6</v>
      </c>
      <c r="R42" s="44">
        <f t="shared" si="3"/>
        <v>0</v>
      </c>
    </row>
    <row r="43" spans="1:18" s="42" customFormat="1" ht="17.25" customHeight="1">
      <c r="A43" s="39" t="s">
        <v>22</v>
      </c>
      <c r="B43" s="45">
        <v>10</v>
      </c>
      <c r="C43" s="117"/>
      <c r="D43" s="117">
        <v>40</v>
      </c>
      <c r="E43" s="117"/>
      <c r="F43" s="43"/>
      <c r="G43" s="43">
        <v>53325</v>
      </c>
      <c r="H43" s="43"/>
      <c r="I43" s="41"/>
      <c r="J43" s="41">
        <v>1.25</v>
      </c>
      <c r="K43" s="41"/>
      <c r="L43" s="49">
        <v>0.771</v>
      </c>
      <c r="M43" s="44">
        <f t="shared" si="0"/>
        <v>0</v>
      </c>
      <c r="N43" s="44">
        <f>ROUND(D43*G43*J43*L43/1000,1)-0.3</f>
        <v>2055.3999999999996</v>
      </c>
      <c r="O43" s="44">
        <f t="shared" si="1"/>
        <v>0</v>
      </c>
      <c r="P43" s="44">
        <f t="shared" si="2"/>
        <v>2055.3999999999996</v>
      </c>
      <c r="Q43" s="24">
        <v>2055.4</v>
      </c>
      <c r="R43" s="44">
        <f t="shared" si="3"/>
        <v>0</v>
      </c>
    </row>
    <row r="44" spans="1:18" s="42" customFormat="1" ht="15.75">
      <c r="A44" s="39" t="s">
        <v>40</v>
      </c>
      <c r="B44" s="40">
        <v>10</v>
      </c>
      <c r="C44" s="107"/>
      <c r="D44" s="107">
        <v>22</v>
      </c>
      <c r="E44" s="118"/>
      <c r="F44" s="43"/>
      <c r="G44" s="43">
        <v>53325</v>
      </c>
      <c r="H44" s="43"/>
      <c r="I44" s="41"/>
      <c r="J44" s="41">
        <v>1.14</v>
      </c>
      <c r="K44" s="41"/>
      <c r="L44" s="49">
        <v>0.986</v>
      </c>
      <c r="M44" s="44">
        <f t="shared" si="0"/>
        <v>0</v>
      </c>
      <c r="N44" s="44">
        <f>ROUND(D44*G44*J44*L44/1000,1)+0.5</f>
        <v>1319.2</v>
      </c>
      <c r="O44" s="44">
        <f t="shared" si="1"/>
        <v>0</v>
      </c>
      <c r="P44" s="44">
        <f t="shared" si="2"/>
        <v>1319.2</v>
      </c>
      <c r="Q44" s="24">
        <v>1319.2</v>
      </c>
      <c r="R44" s="44">
        <f t="shared" si="3"/>
        <v>0</v>
      </c>
    </row>
    <row r="45" spans="1:18" s="42" customFormat="1" ht="15.75">
      <c r="A45" s="39" t="s">
        <v>41</v>
      </c>
      <c r="B45" s="40">
        <v>9</v>
      </c>
      <c r="C45" s="109"/>
      <c r="D45" s="109">
        <v>7</v>
      </c>
      <c r="E45" s="110"/>
      <c r="F45" s="43"/>
      <c r="G45" s="43">
        <v>48576</v>
      </c>
      <c r="H45" s="43"/>
      <c r="I45" s="41"/>
      <c r="J45" s="41">
        <v>3.57</v>
      </c>
      <c r="K45" s="41"/>
      <c r="L45" s="49">
        <v>0.895</v>
      </c>
      <c r="M45" s="44">
        <f t="shared" si="0"/>
        <v>0</v>
      </c>
      <c r="N45" s="44">
        <f>ROUND(D45*G45*J45*L45/1000,1)+0.3</f>
        <v>1086.8</v>
      </c>
      <c r="O45" s="44">
        <f t="shared" si="1"/>
        <v>0</v>
      </c>
      <c r="P45" s="44">
        <f t="shared" si="2"/>
        <v>1086.8</v>
      </c>
      <c r="Q45" s="24">
        <v>1086.8</v>
      </c>
      <c r="R45" s="44">
        <f t="shared" si="3"/>
        <v>0</v>
      </c>
    </row>
    <row r="46" spans="1:18" s="42" customFormat="1" ht="22.5" customHeight="1">
      <c r="A46" s="39" t="s">
        <v>42</v>
      </c>
      <c r="B46" s="40">
        <v>10</v>
      </c>
      <c r="C46" s="109"/>
      <c r="D46" s="109">
        <v>15</v>
      </c>
      <c r="E46" s="114"/>
      <c r="F46" s="43"/>
      <c r="G46" s="43">
        <v>53325</v>
      </c>
      <c r="H46" s="43"/>
      <c r="I46" s="41"/>
      <c r="J46" s="41">
        <v>1.67</v>
      </c>
      <c r="K46" s="41"/>
      <c r="L46" s="49">
        <v>0.949</v>
      </c>
      <c r="M46" s="44">
        <f t="shared" si="0"/>
        <v>0</v>
      </c>
      <c r="N46" s="44">
        <f>ROUND(D46*G46*J46*L46/1000,1)+0.8</f>
        <v>1268.5</v>
      </c>
      <c r="O46" s="44">
        <f t="shared" si="1"/>
        <v>0</v>
      </c>
      <c r="P46" s="44">
        <f t="shared" si="2"/>
        <v>1268.5</v>
      </c>
      <c r="Q46" s="24">
        <v>1268.5</v>
      </c>
      <c r="R46" s="44">
        <f t="shared" si="3"/>
        <v>0</v>
      </c>
    </row>
    <row r="47" spans="1:18" s="42" customFormat="1" ht="15.75">
      <c r="A47" s="39" t="s">
        <v>23</v>
      </c>
      <c r="B47" s="40">
        <v>9</v>
      </c>
      <c r="C47" s="109"/>
      <c r="D47" s="109">
        <v>17</v>
      </c>
      <c r="E47" s="110"/>
      <c r="F47" s="43"/>
      <c r="G47" s="43">
        <v>53325</v>
      </c>
      <c r="H47" s="43"/>
      <c r="I47" s="41"/>
      <c r="J47" s="41">
        <v>1.36</v>
      </c>
      <c r="K47" s="41"/>
      <c r="L47" s="49">
        <v>0.79</v>
      </c>
      <c r="M47" s="44">
        <f t="shared" si="0"/>
        <v>0</v>
      </c>
      <c r="N47" s="44">
        <v>802.5</v>
      </c>
      <c r="O47" s="44">
        <f t="shared" si="1"/>
        <v>0</v>
      </c>
      <c r="P47" s="44">
        <f t="shared" si="2"/>
        <v>802.5</v>
      </c>
      <c r="Q47" s="24">
        <v>802.5</v>
      </c>
      <c r="R47" s="44">
        <f t="shared" si="3"/>
        <v>0</v>
      </c>
    </row>
    <row r="48" spans="1:18" s="42" customFormat="1" ht="18" customHeight="1">
      <c r="A48" s="39" t="s">
        <v>43</v>
      </c>
      <c r="B48" s="40">
        <v>10</v>
      </c>
      <c r="C48" s="109"/>
      <c r="D48" s="109">
        <v>21</v>
      </c>
      <c r="E48" s="110"/>
      <c r="F48" s="43"/>
      <c r="G48" s="43">
        <v>53325</v>
      </c>
      <c r="H48" s="43"/>
      <c r="I48" s="41"/>
      <c r="J48" s="41">
        <v>1.19</v>
      </c>
      <c r="K48" s="41"/>
      <c r="L48" s="49">
        <v>0.989</v>
      </c>
      <c r="M48" s="44">
        <f t="shared" si="0"/>
        <v>0</v>
      </c>
      <c r="N48" s="44">
        <f>ROUND(D48*G48*J48*L48/1000,1)+0.9</f>
        <v>1318.8000000000002</v>
      </c>
      <c r="O48" s="44">
        <f t="shared" si="1"/>
        <v>0</v>
      </c>
      <c r="P48" s="44">
        <f t="shared" si="2"/>
        <v>1318.8000000000002</v>
      </c>
      <c r="Q48" s="24">
        <v>1318.8</v>
      </c>
      <c r="R48" s="44">
        <f t="shared" si="3"/>
        <v>0</v>
      </c>
    </row>
    <row r="49" spans="1:18" s="42" customFormat="1" ht="34.5" customHeight="1">
      <c r="A49" s="39" t="s">
        <v>44</v>
      </c>
      <c r="B49" s="40">
        <v>9</v>
      </c>
      <c r="C49" s="109"/>
      <c r="D49" s="109">
        <v>9</v>
      </c>
      <c r="E49" s="110"/>
      <c r="F49" s="43"/>
      <c r="G49" s="43">
        <v>48576</v>
      </c>
      <c r="H49" s="43"/>
      <c r="I49" s="41"/>
      <c r="J49" s="41">
        <v>2.78</v>
      </c>
      <c r="K49" s="41"/>
      <c r="L49" s="49">
        <v>0.879</v>
      </c>
      <c r="M49" s="44">
        <f t="shared" si="0"/>
        <v>0</v>
      </c>
      <c r="N49" s="44">
        <f>ROUND(D49*G49*J49*L49/1000,1)+0.2</f>
        <v>1068.5</v>
      </c>
      <c r="O49" s="44">
        <f t="shared" si="1"/>
        <v>0</v>
      </c>
      <c r="P49" s="44">
        <f t="shared" si="2"/>
        <v>1068.5</v>
      </c>
      <c r="Q49" s="24">
        <v>1068.5</v>
      </c>
      <c r="R49" s="44">
        <f t="shared" si="3"/>
        <v>0</v>
      </c>
    </row>
    <row r="50" spans="1:18" s="42" customFormat="1" ht="31.5">
      <c r="A50" s="39" t="s">
        <v>45</v>
      </c>
      <c r="B50" s="40">
        <v>10</v>
      </c>
      <c r="C50" s="109"/>
      <c r="D50" s="109">
        <v>17</v>
      </c>
      <c r="E50" s="116"/>
      <c r="F50" s="43"/>
      <c r="G50" s="43">
        <v>53325</v>
      </c>
      <c r="H50" s="43"/>
      <c r="I50" s="41"/>
      <c r="J50" s="41">
        <v>1.47</v>
      </c>
      <c r="K50" s="41"/>
      <c r="L50" s="49">
        <v>0.905</v>
      </c>
      <c r="M50" s="44">
        <f t="shared" si="0"/>
        <v>0</v>
      </c>
      <c r="N50" s="44">
        <f>ROUND(D50*G50*J50*L50/1000,1)+0.2</f>
        <v>1206.2</v>
      </c>
      <c r="O50" s="44">
        <f t="shared" si="1"/>
        <v>0</v>
      </c>
      <c r="P50" s="44">
        <f t="shared" si="2"/>
        <v>1206.2</v>
      </c>
      <c r="Q50" s="24">
        <v>1206.2</v>
      </c>
      <c r="R50" s="44">
        <f t="shared" si="3"/>
        <v>0</v>
      </c>
    </row>
    <row r="51" spans="1:18" s="42" customFormat="1" ht="48" thickBot="1">
      <c r="A51" s="76" t="s">
        <v>52</v>
      </c>
      <c r="B51" s="46"/>
      <c r="C51" s="119">
        <f>SUM(C6:C50)</f>
        <v>405</v>
      </c>
      <c r="D51" s="119">
        <f>SUM(D6:D50)</f>
        <v>2838</v>
      </c>
      <c r="E51" s="120">
        <f>SUM(E6:E50)</f>
        <v>305</v>
      </c>
      <c r="F51" s="47"/>
      <c r="G51" s="43"/>
      <c r="H51" s="43"/>
      <c r="I51" s="43"/>
      <c r="J51" s="43"/>
      <c r="K51" s="43"/>
      <c r="L51" s="43"/>
      <c r="M51" s="44">
        <f aca="true" t="shared" si="4" ref="M51:R51">SUM(M6:M50)</f>
        <v>22322.499999999996</v>
      </c>
      <c r="N51" s="44">
        <f t="shared" si="4"/>
        <v>135015.49999999994</v>
      </c>
      <c r="O51" s="44">
        <f t="shared" si="4"/>
        <v>35270.2</v>
      </c>
      <c r="P51" s="44">
        <f t="shared" si="4"/>
        <v>192608.19999999995</v>
      </c>
      <c r="Q51" s="24">
        <f t="shared" si="4"/>
        <v>192608.19999999995</v>
      </c>
      <c r="R51" s="24">
        <f t="shared" si="4"/>
        <v>0</v>
      </c>
    </row>
    <row r="52" spans="1:16" ht="18" customHeight="1">
      <c r="A52" s="121"/>
      <c r="B52" s="9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P52" s="25"/>
    </row>
    <row r="53" spans="1:13" ht="15.75">
      <c r="A53" s="10"/>
      <c r="B53" s="10"/>
      <c r="C53" s="37"/>
      <c r="D53" s="37"/>
      <c r="E53" s="37"/>
      <c r="F53" s="38"/>
      <c r="G53" s="37"/>
      <c r="H53" s="37"/>
      <c r="I53" s="37"/>
      <c r="J53" s="37"/>
      <c r="K53" s="37"/>
      <c r="L53" s="37"/>
      <c r="M53" s="37"/>
    </row>
    <row r="54" spans="1:17" ht="15.75">
      <c r="A54" s="10"/>
      <c r="B54" s="10"/>
      <c r="C54" s="11"/>
      <c r="D54" s="11"/>
      <c r="P54" s="25"/>
      <c r="Q54" s="32"/>
    </row>
    <row r="55" spans="1:4" ht="15.75">
      <c r="A55" s="10"/>
      <c r="B55" s="10"/>
      <c r="C55" s="11"/>
      <c r="D55" s="11"/>
    </row>
    <row r="56" spans="1:4" ht="15.75">
      <c r="A56" s="10"/>
      <c r="B56" s="10"/>
      <c r="C56" s="11"/>
      <c r="D56" s="11"/>
    </row>
    <row r="57" spans="1:4" ht="15.75">
      <c r="A57" s="16"/>
      <c r="B57" s="16"/>
      <c r="C57" s="11"/>
      <c r="D57" s="11"/>
    </row>
    <row r="58" spans="1:4" ht="15.75">
      <c r="A58" s="16"/>
      <c r="B58" s="16"/>
      <c r="C58" s="11"/>
      <c r="D58" s="11"/>
    </row>
    <row r="59" spans="1:4" ht="16.5" customHeight="1">
      <c r="A59" s="10"/>
      <c r="B59" s="10"/>
      <c r="C59" s="11"/>
      <c r="D59" s="11"/>
    </row>
    <row r="60" spans="1:4" ht="15.75">
      <c r="A60" s="10"/>
      <c r="B60" s="10"/>
      <c r="C60" s="11"/>
      <c r="D60" s="11"/>
    </row>
    <row r="61" spans="1:4" ht="15.75">
      <c r="A61" s="10"/>
      <c r="B61" s="10"/>
      <c r="C61" s="11"/>
      <c r="D61" s="11"/>
    </row>
    <row r="62" spans="1:4" ht="15.75">
      <c r="A62" s="10"/>
      <c r="B62" s="10"/>
      <c r="C62" s="11"/>
      <c r="D62" s="11"/>
    </row>
    <row r="63" spans="1:4" ht="15.75">
      <c r="A63" s="10"/>
      <c r="B63" s="10"/>
      <c r="C63" s="11"/>
      <c r="D63" s="11"/>
    </row>
    <row r="64" spans="1:4" ht="15.75">
      <c r="A64" s="10"/>
      <c r="B64" s="10"/>
      <c r="C64" s="11"/>
      <c r="D64" s="11"/>
    </row>
    <row r="65" spans="1:4" ht="15.75">
      <c r="A65" s="17"/>
      <c r="B65" s="17"/>
      <c r="C65" s="18"/>
      <c r="D65" s="18"/>
    </row>
    <row r="66" spans="1:4" s="13" customFormat="1" ht="16.5" customHeight="1">
      <c r="A66" s="156"/>
      <c r="B66" s="156"/>
      <c r="C66" s="156"/>
      <c r="D66" s="156"/>
    </row>
    <row r="67" spans="1:4" ht="15.75">
      <c r="A67" s="16"/>
      <c r="B67" s="16"/>
      <c r="C67" s="11"/>
      <c r="D67" s="11"/>
    </row>
    <row r="68" spans="1:4" ht="15.75">
      <c r="A68" s="16"/>
      <c r="B68" s="16"/>
      <c r="C68" s="11"/>
      <c r="D68" s="11"/>
    </row>
    <row r="69" spans="1:4" ht="15.75">
      <c r="A69" s="16"/>
      <c r="B69" s="16"/>
      <c r="C69" s="11"/>
      <c r="D69" s="11"/>
    </row>
    <row r="70" spans="1:4" ht="15.75">
      <c r="A70" s="16"/>
      <c r="B70" s="16"/>
      <c r="C70" s="11"/>
      <c r="D70" s="11"/>
    </row>
    <row r="71" spans="1:4" ht="18" customHeight="1">
      <c r="A71" s="16"/>
      <c r="B71" s="16"/>
      <c r="C71" s="11"/>
      <c r="D71" s="11"/>
    </row>
    <row r="72" spans="1:4" ht="15.75">
      <c r="A72" s="16"/>
      <c r="B72" s="16"/>
      <c r="C72" s="11"/>
      <c r="D72" s="11"/>
    </row>
    <row r="73" spans="1:4" ht="15.75">
      <c r="A73" s="16"/>
      <c r="B73" s="16"/>
      <c r="C73" s="11"/>
      <c r="D73" s="11"/>
    </row>
    <row r="74" spans="1:4" ht="15.75">
      <c r="A74" s="16"/>
      <c r="B74" s="16"/>
      <c r="C74" s="11"/>
      <c r="D74" s="11"/>
    </row>
    <row r="75" spans="1:4" ht="15.75">
      <c r="A75" s="16"/>
      <c r="B75" s="16"/>
      <c r="C75" s="11"/>
      <c r="D75" s="11"/>
    </row>
    <row r="76" spans="1:4" ht="15.75">
      <c r="A76" s="16"/>
      <c r="B76" s="16"/>
      <c r="C76" s="11"/>
      <c r="D76" s="11"/>
    </row>
    <row r="77" spans="1:4" ht="15.75">
      <c r="A77" s="10"/>
      <c r="B77" s="10"/>
      <c r="C77" s="11"/>
      <c r="D77" s="11"/>
    </row>
    <row r="78" spans="1:4" ht="15.75">
      <c r="A78" s="10"/>
      <c r="B78" s="10"/>
      <c r="C78" s="11"/>
      <c r="D78" s="11"/>
    </row>
    <row r="79" spans="1:4" ht="15.75">
      <c r="A79" s="10"/>
      <c r="B79" s="10"/>
      <c r="C79" s="11"/>
      <c r="D79" s="11"/>
    </row>
    <row r="80" spans="1:4" ht="15.75">
      <c r="A80" s="10"/>
      <c r="B80" s="10"/>
      <c r="C80" s="11"/>
      <c r="D80" s="11"/>
    </row>
    <row r="81" spans="1:4" ht="15.75">
      <c r="A81" s="10"/>
      <c r="B81" s="10"/>
      <c r="C81" s="11"/>
      <c r="D81" s="11"/>
    </row>
    <row r="82" spans="1:4" ht="15.75">
      <c r="A82" s="10"/>
      <c r="B82" s="10"/>
      <c r="C82" s="11"/>
      <c r="D82" s="11"/>
    </row>
    <row r="83" spans="1:4" ht="15.75">
      <c r="A83" s="10"/>
      <c r="B83" s="10"/>
      <c r="C83" s="11"/>
      <c r="D83" s="11"/>
    </row>
    <row r="84" spans="1:4" ht="15.75">
      <c r="A84" s="10"/>
      <c r="B84" s="10"/>
      <c r="C84" s="11"/>
      <c r="D84" s="11"/>
    </row>
    <row r="85" spans="1:4" ht="15.75">
      <c r="A85" s="10"/>
      <c r="B85" s="10"/>
      <c r="C85" s="11"/>
      <c r="D85" s="11"/>
    </row>
    <row r="86" spans="1:4" ht="15.75">
      <c r="A86" s="10"/>
      <c r="B86" s="10"/>
      <c r="C86" s="11"/>
      <c r="D86" s="11"/>
    </row>
    <row r="87" spans="1:4" ht="15.75">
      <c r="A87" s="10"/>
      <c r="B87" s="10"/>
      <c r="C87" s="11"/>
      <c r="D87" s="11"/>
    </row>
    <row r="88" spans="1:4" ht="15.75">
      <c r="A88" s="10"/>
      <c r="B88" s="10"/>
      <c r="C88" s="11"/>
      <c r="D88" s="11"/>
    </row>
    <row r="89" spans="1:4" ht="15.75">
      <c r="A89" s="10"/>
      <c r="B89" s="10"/>
      <c r="C89" s="11"/>
      <c r="D89" s="11"/>
    </row>
    <row r="90" spans="1:4" ht="15.75">
      <c r="A90" s="10"/>
      <c r="B90" s="10"/>
      <c r="C90" s="11"/>
      <c r="D90" s="11"/>
    </row>
    <row r="91" spans="1:4" ht="15.75">
      <c r="A91" s="10"/>
      <c r="B91" s="10"/>
      <c r="C91" s="11"/>
      <c r="D91" s="11"/>
    </row>
    <row r="92" spans="1:4" ht="15.75">
      <c r="A92" s="10"/>
      <c r="B92" s="10"/>
      <c r="C92" s="11"/>
      <c r="D92" s="11"/>
    </row>
    <row r="93" spans="1:4" ht="15.75">
      <c r="A93" s="10"/>
      <c r="B93" s="10"/>
      <c r="C93" s="11"/>
      <c r="D93" s="11"/>
    </row>
    <row r="94" spans="1:4" ht="15.75">
      <c r="A94" s="10"/>
      <c r="B94" s="10"/>
      <c r="C94" s="11"/>
      <c r="D94" s="11"/>
    </row>
    <row r="95" spans="1:4" ht="15.75">
      <c r="A95" s="10"/>
      <c r="B95" s="10"/>
      <c r="C95" s="11"/>
      <c r="D95" s="11"/>
    </row>
    <row r="96" spans="1:4" ht="15.75">
      <c r="A96" s="10"/>
      <c r="B96" s="10"/>
      <c r="C96" s="11"/>
      <c r="D96" s="11"/>
    </row>
    <row r="97" spans="1:4" ht="15.75">
      <c r="A97" s="10"/>
      <c r="B97" s="10"/>
      <c r="C97" s="11"/>
      <c r="D97" s="11"/>
    </row>
    <row r="98" spans="1:4" ht="15.75">
      <c r="A98" s="10"/>
      <c r="B98" s="10"/>
      <c r="C98" s="11"/>
      <c r="D98" s="11"/>
    </row>
    <row r="99" spans="1:4" ht="15.75">
      <c r="A99" s="10"/>
      <c r="B99" s="10"/>
      <c r="C99" s="11"/>
      <c r="D99" s="11"/>
    </row>
    <row r="100" spans="1:4" ht="15.75">
      <c r="A100" s="10"/>
      <c r="B100" s="10"/>
      <c r="C100" s="11"/>
      <c r="D100" s="11"/>
    </row>
    <row r="101" spans="1:4" ht="15.75">
      <c r="A101" s="10"/>
      <c r="B101" s="10"/>
      <c r="C101" s="11"/>
      <c r="D101" s="11"/>
    </row>
    <row r="102" spans="1:4" ht="15.75">
      <c r="A102" s="10"/>
      <c r="B102" s="10"/>
      <c r="C102" s="11"/>
      <c r="D102" s="11"/>
    </row>
    <row r="103" spans="1:4" ht="15.75">
      <c r="A103" s="10"/>
      <c r="B103" s="10"/>
      <c r="C103" s="11"/>
      <c r="D103" s="11"/>
    </row>
    <row r="104" spans="1:4" ht="15.75">
      <c r="A104" s="10"/>
      <c r="B104" s="10"/>
      <c r="C104" s="11"/>
      <c r="D104" s="11"/>
    </row>
    <row r="105" spans="1:4" ht="15.75">
      <c r="A105" s="10"/>
      <c r="B105" s="10"/>
      <c r="C105" s="11"/>
      <c r="D105" s="11"/>
    </row>
    <row r="106" spans="1:4" ht="15.75">
      <c r="A106" s="10"/>
      <c r="B106" s="10"/>
      <c r="C106" s="11"/>
      <c r="D106" s="11"/>
    </row>
    <row r="107" spans="1:4" ht="15.75">
      <c r="A107" s="10"/>
      <c r="B107" s="10"/>
      <c r="C107" s="11"/>
      <c r="D107" s="11"/>
    </row>
    <row r="108" spans="1:4" ht="15.75">
      <c r="A108" s="10"/>
      <c r="B108" s="10"/>
      <c r="C108" s="11"/>
      <c r="D108" s="11"/>
    </row>
    <row r="109" spans="1:4" ht="15.75">
      <c r="A109" s="10"/>
      <c r="B109" s="10"/>
      <c r="C109" s="11"/>
      <c r="D109" s="11"/>
    </row>
    <row r="110" spans="1:4" ht="15.75">
      <c r="A110" s="10"/>
      <c r="B110" s="10"/>
      <c r="C110" s="11"/>
      <c r="D110" s="11"/>
    </row>
    <row r="111" spans="1:4" ht="15.75">
      <c r="A111" s="19"/>
      <c r="B111" s="19"/>
      <c r="C111" s="18"/>
      <c r="D111" s="18"/>
    </row>
    <row r="112" spans="1:4" ht="15.75">
      <c r="A112" s="19"/>
      <c r="B112" s="19"/>
      <c r="C112" s="2"/>
      <c r="D112" s="2"/>
    </row>
    <row r="113" spans="1:4" ht="15.75">
      <c r="A113" s="12"/>
      <c r="B113" s="12"/>
      <c r="C113" s="11"/>
      <c r="D113" s="11"/>
    </row>
  </sheetData>
  <sheetProtection/>
  <mergeCells count="18">
    <mergeCell ref="Q3:Q5"/>
    <mergeCell ref="R3:R5"/>
    <mergeCell ref="P3:P5"/>
    <mergeCell ref="C4:D4"/>
    <mergeCell ref="F4:G4"/>
    <mergeCell ref="I4:J4"/>
    <mergeCell ref="M4:N4"/>
    <mergeCell ref="M3:O3"/>
    <mergeCell ref="A66:D66"/>
    <mergeCell ref="A1:D1"/>
    <mergeCell ref="F2:H2"/>
    <mergeCell ref="M2:P2"/>
    <mergeCell ref="A3:A4"/>
    <mergeCell ref="B3:B5"/>
    <mergeCell ref="C3:E3"/>
    <mergeCell ref="F3:H3"/>
    <mergeCell ref="I3:K3"/>
    <mergeCell ref="L3:L5"/>
  </mergeCells>
  <printOptions horizontalCentered="1"/>
  <pageMargins left="0" right="0" top="0.5905511811023623" bottom="0" header="0" footer="0"/>
  <pageSetup horizontalDpi="600" verticalDpi="600" orientation="portrait" paperSize="9" scale="50" r:id="rId1"/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12"/>
  <sheetViews>
    <sheetView view="pageBreakPreview" zoomScale="70" zoomScaleNormal="71" zoomScaleSheetLayoutView="70" zoomScalePageLayoutView="0" workbookViewId="0" topLeftCell="A1">
      <pane xSplit="2" ySplit="4" topLeftCell="C3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52" sqref="D52:D59"/>
    </sheetView>
  </sheetViews>
  <sheetFormatPr defaultColWidth="9.140625" defaultRowHeight="12.75"/>
  <cols>
    <col min="1" max="1" width="30.8515625" style="4" customWidth="1"/>
    <col min="2" max="2" width="14.8515625" style="4" customWidth="1"/>
    <col min="3" max="3" width="15.8515625" style="3" customWidth="1"/>
    <col min="4" max="6" width="15.140625" style="3" customWidth="1"/>
    <col min="7" max="7" width="20.00390625" style="3" customWidth="1"/>
    <col min="8" max="8" width="17.7109375" style="3" hidden="1" customWidth="1"/>
    <col min="9" max="9" width="18.421875" style="3" hidden="1" customWidth="1"/>
    <col min="10" max="10" width="17.140625" style="3" hidden="1" customWidth="1"/>
    <col min="11" max="11" width="15.28125" style="3" hidden="1" customWidth="1"/>
    <col min="12" max="12" width="16.140625" style="3" hidden="1" customWidth="1"/>
    <col min="13" max="13" width="17.00390625" style="3" customWidth="1"/>
    <col min="14" max="14" width="15.7109375" style="3" customWidth="1"/>
    <col min="15" max="15" width="19.140625" style="3" customWidth="1"/>
    <col min="16" max="16" width="19.8515625" style="3" customWidth="1"/>
    <col min="17" max="17" width="19.00390625" style="3" customWidth="1"/>
    <col min="18" max="18" width="31.00390625" style="3" customWidth="1"/>
    <col min="19" max="16384" width="9.140625" style="3" customWidth="1"/>
  </cols>
  <sheetData>
    <row r="1" spans="1:7" ht="15.75">
      <c r="A1" s="157"/>
      <c r="B1" s="157"/>
      <c r="G1" s="3" t="s">
        <v>91</v>
      </c>
    </row>
    <row r="2" spans="1:2" ht="15.75" customHeight="1">
      <c r="A2" s="97"/>
      <c r="B2" s="97"/>
    </row>
    <row r="3" spans="1:18" ht="94.5" customHeight="1">
      <c r="A3" s="181" t="s">
        <v>51</v>
      </c>
      <c r="B3" s="182" t="s">
        <v>50</v>
      </c>
      <c r="C3" s="193" t="s">
        <v>65</v>
      </c>
      <c r="D3" s="193" t="s">
        <v>83</v>
      </c>
      <c r="E3" s="193" t="s">
        <v>89</v>
      </c>
      <c r="F3" s="195" t="s">
        <v>92</v>
      </c>
      <c r="G3" s="194" t="s">
        <v>90</v>
      </c>
      <c r="H3" s="199" t="s">
        <v>62</v>
      </c>
      <c r="I3" s="200"/>
      <c r="J3" s="194" t="s">
        <v>77</v>
      </c>
      <c r="K3" s="194" t="s">
        <v>79</v>
      </c>
      <c r="L3" s="194" t="s">
        <v>78</v>
      </c>
      <c r="M3" s="197"/>
      <c r="N3" s="197"/>
      <c r="O3" s="197"/>
      <c r="P3" s="197"/>
      <c r="Q3" s="198"/>
      <c r="R3" s="21"/>
    </row>
    <row r="4" spans="1:18" ht="117.75" customHeight="1">
      <c r="A4" s="181"/>
      <c r="B4" s="183"/>
      <c r="C4" s="193"/>
      <c r="D4" s="193"/>
      <c r="E4" s="193"/>
      <c r="F4" s="196"/>
      <c r="G4" s="194"/>
      <c r="H4" s="99" t="s">
        <v>63</v>
      </c>
      <c r="I4" s="106" t="s">
        <v>64</v>
      </c>
      <c r="J4" s="194"/>
      <c r="K4" s="194"/>
      <c r="L4" s="194"/>
      <c r="M4" s="197"/>
      <c r="N4" s="197"/>
      <c r="O4" s="197"/>
      <c r="P4" s="197"/>
      <c r="Q4" s="198"/>
      <c r="R4" s="21"/>
    </row>
    <row r="5" spans="1:18" ht="23.25" customHeight="1">
      <c r="A5" s="6" t="s">
        <v>1</v>
      </c>
      <c r="B5" s="26">
        <v>12</v>
      </c>
      <c r="C5" s="24">
        <f>'Для корректировки'!P6</f>
        <v>4384</v>
      </c>
      <c r="D5" s="48">
        <f>'МЗ-корректировка'!P6</f>
        <v>253.6</v>
      </c>
      <c r="E5" s="48">
        <f>'Общехозяйст.'!N8</f>
        <v>986.5999999999999</v>
      </c>
      <c r="F5" s="48">
        <v>36</v>
      </c>
      <c r="G5" s="24">
        <f>C5+D5+E5+F5</f>
        <v>5660.200000000001</v>
      </c>
      <c r="H5" s="24">
        <f aca="true" t="shared" si="0" ref="H5:H49">ROUND(C5/1.302,1)</f>
        <v>3367.1</v>
      </c>
      <c r="I5" s="52">
        <f aca="true" t="shared" si="1" ref="I5:I49">C5-H5</f>
        <v>1016.9000000000001</v>
      </c>
      <c r="J5" s="24">
        <v>4637.6</v>
      </c>
      <c r="K5" s="24">
        <f>J5-'Для корректировки'!Q6</f>
        <v>253.60000000000036</v>
      </c>
      <c r="L5" s="24">
        <f>D5-K5</f>
        <v>-3.694822225952521E-13</v>
      </c>
      <c r="M5" s="50"/>
      <c r="N5" s="53"/>
      <c r="O5" s="50"/>
      <c r="P5" s="50"/>
      <c r="Q5" s="21"/>
      <c r="R5" s="21"/>
    </row>
    <row r="6" spans="1:18" ht="15.75">
      <c r="A6" s="6" t="s">
        <v>2</v>
      </c>
      <c r="B6" s="26">
        <v>12</v>
      </c>
      <c r="C6" s="24">
        <f>'Для корректировки'!P7</f>
        <v>5733.700000000001</v>
      </c>
      <c r="D6" s="48">
        <f>'МЗ-корректировка'!P7</f>
        <v>322.40000000000003</v>
      </c>
      <c r="E6" s="48">
        <f>'Общехозяйст.'!N9</f>
        <v>1194.1</v>
      </c>
      <c r="F6" s="48">
        <v>43.7</v>
      </c>
      <c r="G6" s="24">
        <f aca="true" t="shared" si="2" ref="G6:G49">C6+D6+E6+F6</f>
        <v>7293.900000000001</v>
      </c>
      <c r="H6" s="24">
        <f t="shared" si="0"/>
        <v>4403.8</v>
      </c>
      <c r="I6" s="52">
        <f t="shared" si="1"/>
        <v>1329.9000000000005</v>
      </c>
      <c r="J6" s="24">
        <v>6056.1</v>
      </c>
      <c r="K6" s="24">
        <f>J6-'Для корректировки'!Q7</f>
        <v>322.40000000000055</v>
      </c>
      <c r="L6" s="24">
        <f aca="true" t="shared" si="3" ref="L6:L49">D6-K6</f>
        <v>-5.115907697472721E-13</v>
      </c>
      <c r="M6" s="50"/>
      <c r="N6" s="53"/>
      <c r="O6" s="50"/>
      <c r="P6" s="50"/>
      <c r="Q6" s="21"/>
      <c r="R6" s="21"/>
    </row>
    <row r="7" spans="1:18" ht="15.75">
      <c r="A7" s="6" t="s">
        <v>3</v>
      </c>
      <c r="B7" s="26">
        <v>12</v>
      </c>
      <c r="C7" s="24">
        <f>'Для корректировки'!P8</f>
        <v>6959.7</v>
      </c>
      <c r="D7" s="48">
        <f>'МЗ-корректировка'!P8</f>
        <v>357.90000000000003</v>
      </c>
      <c r="E7" s="48">
        <f>'Общехозяйст.'!N10</f>
        <v>1494.3</v>
      </c>
      <c r="F7" s="48">
        <v>60.8</v>
      </c>
      <c r="G7" s="24">
        <f t="shared" si="2"/>
        <v>8872.699999999999</v>
      </c>
      <c r="H7" s="24">
        <f t="shared" si="0"/>
        <v>5345.4</v>
      </c>
      <c r="I7" s="52">
        <f t="shared" si="1"/>
        <v>1614.3000000000002</v>
      </c>
      <c r="J7" s="24">
        <v>7317.6</v>
      </c>
      <c r="K7" s="24">
        <f>J7-'Для корректировки'!Q8</f>
        <v>357.90000000000055</v>
      </c>
      <c r="L7" s="24">
        <f t="shared" si="3"/>
        <v>-5.115907697472721E-13</v>
      </c>
      <c r="M7" s="50"/>
      <c r="N7" s="53"/>
      <c r="O7" s="50"/>
      <c r="P7" s="50"/>
      <c r="Q7" s="21"/>
      <c r="R7" s="21"/>
    </row>
    <row r="8" spans="1:18" ht="15.75">
      <c r="A8" s="6" t="s">
        <v>4</v>
      </c>
      <c r="B8" s="26">
        <v>12</v>
      </c>
      <c r="C8" s="24">
        <f>'Для корректировки'!P9</f>
        <v>14709.9</v>
      </c>
      <c r="D8" s="48">
        <f>'МЗ-корректировка'!P9</f>
        <v>733.5</v>
      </c>
      <c r="E8" s="48">
        <f>'Общехозяйст.'!N11</f>
        <v>2001.5</v>
      </c>
      <c r="F8" s="48">
        <v>122</v>
      </c>
      <c r="G8" s="24">
        <f t="shared" si="2"/>
        <v>17566.9</v>
      </c>
      <c r="H8" s="24">
        <f t="shared" si="0"/>
        <v>11297.9</v>
      </c>
      <c r="I8" s="52">
        <f t="shared" si="1"/>
        <v>3412</v>
      </c>
      <c r="J8" s="24">
        <v>15443.4</v>
      </c>
      <c r="K8" s="24">
        <f>J8-'Для корректировки'!Q9</f>
        <v>733.5</v>
      </c>
      <c r="L8" s="24">
        <f t="shared" si="3"/>
        <v>0</v>
      </c>
      <c r="M8" s="50"/>
      <c r="N8" s="53"/>
      <c r="O8" s="50"/>
      <c r="P8" s="50"/>
      <c r="Q8" s="21"/>
      <c r="R8" s="21"/>
    </row>
    <row r="9" spans="1:18" ht="15.75">
      <c r="A9" s="6" t="s">
        <v>5</v>
      </c>
      <c r="B9" s="26">
        <v>12</v>
      </c>
      <c r="C9" s="24">
        <f>'Для корректировки'!P10</f>
        <v>15190.6</v>
      </c>
      <c r="D9" s="48">
        <f>'МЗ-корректировка'!P10</f>
        <v>749.5</v>
      </c>
      <c r="E9" s="48">
        <f>'Общехозяйст.'!N12</f>
        <v>2194.7</v>
      </c>
      <c r="F9" s="48">
        <v>130.8</v>
      </c>
      <c r="G9" s="24">
        <f t="shared" si="2"/>
        <v>18265.6</v>
      </c>
      <c r="H9" s="24">
        <f t="shared" si="0"/>
        <v>11667.1</v>
      </c>
      <c r="I9" s="52">
        <f t="shared" si="1"/>
        <v>3523.5</v>
      </c>
      <c r="J9" s="24">
        <v>15940.1</v>
      </c>
      <c r="K9" s="24">
        <f>J9-'Для корректировки'!Q10</f>
        <v>749.5</v>
      </c>
      <c r="L9" s="24">
        <f t="shared" si="3"/>
        <v>0</v>
      </c>
      <c r="M9" s="50"/>
      <c r="N9" s="53"/>
      <c r="O9" s="50"/>
      <c r="P9" s="50"/>
      <c r="Q9" s="21"/>
      <c r="R9" s="21"/>
    </row>
    <row r="10" spans="1:18" ht="15.75">
      <c r="A10" s="6" t="s">
        <v>6</v>
      </c>
      <c r="B10" s="26">
        <v>12</v>
      </c>
      <c r="C10" s="24">
        <f>'Для корректировки'!P11</f>
        <v>6884.5</v>
      </c>
      <c r="D10" s="48">
        <f>'МЗ-корректировка'!P11</f>
        <v>356</v>
      </c>
      <c r="E10" s="48">
        <f>'Общехозяйст.'!N13</f>
        <v>1393.6999999999998</v>
      </c>
      <c r="F10" s="48">
        <v>40.8</v>
      </c>
      <c r="G10" s="24">
        <f t="shared" si="2"/>
        <v>8675</v>
      </c>
      <c r="H10" s="24">
        <f t="shared" si="0"/>
        <v>5287.6</v>
      </c>
      <c r="I10" s="52">
        <f t="shared" si="1"/>
        <v>1596.8999999999996</v>
      </c>
      <c r="J10" s="24">
        <v>7240.5</v>
      </c>
      <c r="K10" s="24">
        <f>J10-'Для корректировки'!Q11</f>
        <v>356</v>
      </c>
      <c r="L10" s="24">
        <f t="shared" si="3"/>
        <v>0</v>
      </c>
      <c r="M10" s="50"/>
      <c r="N10" s="53"/>
      <c r="O10" s="50"/>
      <c r="P10" s="50"/>
      <c r="Q10" s="100"/>
      <c r="R10" s="21"/>
    </row>
    <row r="11" spans="1:18" ht="15.75">
      <c r="A11" s="6" t="s">
        <v>7</v>
      </c>
      <c r="B11" s="26">
        <v>12</v>
      </c>
      <c r="C11" s="24">
        <f>'Для корректировки'!P12</f>
        <v>16120.5</v>
      </c>
      <c r="D11" s="48">
        <f>'МЗ-корректировка'!P12</f>
        <v>805.8</v>
      </c>
      <c r="E11" s="48">
        <f>'Общехозяйст.'!N14</f>
        <v>2268.2</v>
      </c>
      <c r="F11" s="48">
        <v>199.1</v>
      </c>
      <c r="G11" s="24">
        <f t="shared" si="2"/>
        <v>19393.6</v>
      </c>
      <c r="H11" s="24">
        <f t="shared" si="0"/>
        <v>12381.3</v>
      </c>
      <c r="I11" s="52">
        <f t="shared" si="1"/>
        <v>3739.2000000000007</v>
      </c>
      <c r="J11" s="24">
        <v>16926.3</v>
      </c>
      <c r="K11" s="24">
        <f>J11-'Для корректировки'!Q12</f>
        <v>805.7999999999993</v>
      </c>
      <c r="L11" s="24">
        <f t="shared" si="3"/>
        <v>0</v>
      </c>
      <c r="M11" s="50"/>
      <c r="N11" s="53"/>
      <c r="O11" s="50"/>
      <c r="P11" s="50"/>
      <c r="Q11" s="21"/>
      <c r="R11" s="21"/>
    </row>
    <row r="12" spans="1:18" ht="15.75">
      <c r="A12" s="6" t="s">
        <v>8</v>
      </c>
      <c r="B12" s="26">
        <v>12</v>
      </c>
      <c r="C12" s="24">
        <f>'Для корректировки'!P13</f>
        <v>15813.3</v>
      </c>
      <c r="D12" s="48">
        <f>'МЗ-корректировка'!P13</f>
        <v>790.5999999999999</v>
      </c>
      <c r="E12" s="48">
        <f>'Общехозяйст.'!N15</f>
        <v>2060.3</v>
      </c>
      <c r="F12" s="48">
        <v>107.8</v>
      </c>
      <c r="G12" s="24">
        <f t="shared" si="2"/>
        <v>18771.999999999996</v>
      </c>
      <c r="H12" s="24">
        <f t="shared" si="0"/>
        <v>12145.4</v>
      </c>
      <c r="I12" s="52">
        <f t="shared" si="1"/>
        <v>3667.8999999999996</v>
      </c>
      <c r="J12" s="24">
        <v>16603.9</v>
      </c>
      <c r="K12" s="24">
        <f>J12-'Для корректировки'!Q13</f>
        <v>790.6000000000022</v>
      </c>
      <c r="L12" s="24">
        <f t="shared" si="3"/>
        <v>-2.2737367544323206E-12</v>
      </c>
      <c r="M12" s="50"/>
      <c r="N12" s="53"/>
      <c r="O12" s="50"/>
      <c r="P12" s="50"/>
      <c r="Q12" s="21"/>
      <c r="R12" s="21"/>
    </row>
    <row r="13" spans="1:18" ht="15.75">
      <c r="A13" s="6" t="s">
        <v>9</v>
      </c>
      <c r="B13" s="26">
        <v>12</v>
      </c>
      <c r="C13" s="24">
        <f>'Для корректировки'!P14</f>
        <v>14001.8</v>
      </c>
      <c r="D13" s="48">
        <f>'МЗ-корректировка'!P14</f>
        <v>681.5</v>
      </c>
      <c r="E13" s="48">
        <f>'Общехозяйст.'!N16</f>
        <v>2978.2</v>
      </c>
      <c r="F13" s="48">
        <v>184.2</v>
      </c>
      <c r="G13" s="24">
        <f t="shared" si="2"/>
        <v>17845.7</v>
      </c>
      <c r="H13" s="24">
        <f t="shared" si="0"/>
        <v>10754.1</v>
      </c>
      <c r="I13" s="52">
        <f t="shared" si="1"/>
        <v>3247.699999999999</v>
      </c>
      <c r="J13" s="24">
        <v>14683.3</v>
      </c>
      <c r="K13" s="24">
        <f>J13-'Для корректировки'!Q14</f>
        <v>681.5</v>
      </c>
      <c r="L13" s="24">
        <f t="shared" si="3"/>
        <v>0</v>
      </c>
      <c r="M13" s="50"/>
      <c r="N13" s="21"/>
      <c r="O13" s="50"/>
      <c r="P13" s="50"/>
      <c r="Q13" s="100"/>
      <c r="R13" s="21"/>
    </row>
    <row r="14" spans="1:18" ht="15.75">
      <c r="A14" s="6" t="s">
        <v>10</v>
      </c>
      <c r="B14" s="26">
        <v>12</v>
      </c>
      <c r="C14" s="24">
        <f>'Для корректировки'!P15</f>
        <v>13862.7</v>
      </c>
      <c r="D14" s="48">
        <f>'МЗ-корректировка'!P15</f>
        <v>695.6</v>
      </c>
      <c r="E14" s="48">
        <f>'Общехозяйст.'!N17</f>
        <v>2504.7999999999997</v>
      </c>
      <c r="F14" s="48">
        <v>282.5</v>
      </c>
      <c r="G14" s="24">
        <f t="shared" si="2"/>
        <v>17345.600000000002</v>
      </c>
      <c r="H14" s="24">
        <f t="shared" si="0"/>
        <v>10647.2</v>
      </c>
      <c r="I14" s="52">
        <f t="shared" si="1"/>
        <v>3215.5</v>
      </c>
      <c r="J14" s="24">
        <v>14558.3</v>
      </c>
      <c r="K14" s="24">
        <f>J14-'Для корректировки'!Q15</f>
        <v>695.5999999999985</v>
      </c>
      <c r="L14" s="24">
        <f t="shared" si="3"/>
        <v>1.4779288903810084E-12</v>
      </c>
      <c r="M14" s="50"/>
      <c r="N14" s="21"/>
      <c r="O14" s="50"/>
      <c r="P14" s="50"/>
      <c r="Q14" s="21"/>
      <c r="R14" s="21"/>
    </row>
    <row r="15" spans="1:18" ht="15.75">
      <c r="A15" s="7" t="s">
        <v>11</v>
      </c>
      <c r="B15" s="26">
        <v>12</v>
      </c>
      <c r="C15" s="24">
        <f>'Для корректировки'!P16</f>
        <v>5673.8</v>
      </c>
      <c r="D15" s="48">
        <f>'МЗ-корректировка'!P16</f>
        <v>312.9</v>
      </c>
      <c r="E15" s="48">
        <f>'Общехозяйст.'!N18</f>
        <v>1723.4</v>
      </c>
      <c r="F15" s="48">
        <v>563.4</v>
      </c>
      <c r="G15" s="24">
        <f t="shared" si="2"/>
        <v>8273.5</v>
      </c>
      <c r="H15" s="24">
        <f t="shared" si="0"/>
        <v>4357.8</v>
      </c>
      <c r="I15" s="52">
        <f t="shared" si="1"/>
        <v>1316</v>
      </c>
      <c r="J15" s="24">
        <v>5986.7</v>
      </c>
      <c r="K15" s="24">
        <f>J15-'Для корректировки'!Q16</f>
        <v>312.89999999999964</v>
      </c>
      <c r="L15" s="24">
        <f t="shared" si="3"/>
        <v>0</v>
      </c>
      <c r="M15" s="50"/>
      <c r="N15" s="21"/>
      <c r="O15" s="50"/>
      <c r="P15" s="50"/>
      <c r="Q15" s="21"/>
      <c r="R15" s="21"/>
    </row>
    <row r="16" spans="1:18" ht="15.75">
      <c r="A16" s="6" t="s">
        <v>25</v>
      </c>
      <c r="B16" s="27">
        <v>10</v>
      </c>
      <c r="C16" s="24">
        <f>'Для корректировки'!P17</f>
        <v>1250.3000000000002</v>
      </c>
      <c r="D16" s="48">
        <f>'МЗ-корректировка'!P17</f>
        <v>67.9</v>
      </c>
      <c r="E16" s="48">
        <f>'Общехозяйст.'!N19</f>
        <v>674.4</v>
      </c>
      <c r="F16" s="48">
        <v>3</v>
      </c>
      <c r="G16" s="24">
        <f t="shared" si="2"/>
        <v>1995.6000000000004</v>
      </c>
      <c r="H16" s="24">
        <f t="shared" si="0"/>
        <v>960.3</v>
      </c>
      <c r="I16" s="52">
        <f t="shared" si="1"/>
        <v>290.0000000000002</v>
      </c>
      <c r="J16" s="24">
        <v>1318.2</v>
      </c>
      <c r="K16" s="24">
        <f>J16-'Для корректировки'!Q17</f>
        <v>67.90000000000009</v>
      </c>
      <c r="L16" s="24">
        <f t="shared" si="3"/>
        <v>0</v>
      </c>
      <c r="M16" s="50"/>
      <c r="N16" s="53"/>
      <c r="O16" s="50"/>
      <c r="P16" s="50"/>
      <c r="Q16" s="21"/>
      <c r="R16" s="21"/>
    </row>
    <row r="17" spans="1:18" ht="15.75">
      <c r="A17" s="6" t="s">
        <v>24</v>
      </c>
      <c r="B17" s="27">
        <v>10</v>
      </c>
      <c r="C17" s="24">
        <f>'Для корректировки'!P18</f>
        <v>1625.4</v>
      </c>
      <c r="D17" s="48">
        <f>'МЗ-корректировка'!P18</f>
        <v>87.4</v>
      </c>
      <c r="E17" s="48">
        <f>'Общехозяйст.'!N20</f>
        <v>429.8</v>
      </c>
      <c r="F17" s="48">
        <v>4.8</v>
      </c>
      <c r="G17" s="24">
        <f t="shared" si="2"/>
        <v>2147.4000000000005</v>
      </c>
      <c r="H17" s="24">
        <f t="shared" si="0"/>
        <v>1248.4</v>
      </c>
      <c r="I17" s="52">
        <f t="shared" si="1"/>
        <v>377</v>
      </c>
      <c r="J17" s="24">
        <v>1712.8</v>
      </c>
      <c r="K17" s="24">
        <f>J17-'Для корректировки'!Q18</f>
        <v>87.39999999999986</v>
      </c>
      <c r="L17" s="24">
        <f t="shared" si="3"/>
        <v>1.4210854715202004E-13</v>
      </c>
      <c r="M17" s="50"/>
      <c r="N17" s="53"/>
      <c r="O17" s="50"/>
      <c r="P17" s="50"/>
      <c r="Q17" s="100"/>
      <c r="R17" s="21"/>
    </row>
    <row r="18" spans="1:18" ht="15.75">
      <c r="A18" s="6" t="s">
        <v>12</v>
      </c>
      <c r="B18" s="27">
        <v>10</v>
      </c>
      <c r="C18" s="24">
        <f>'Для корректировки'!P19</f>
        <v>3068.3</v>
      </c>
      <c r="D18" s="48">
        <f>'МЗ-корректировка'!P19</f>
        <v>154.3</v>
      </c>
      <c r="E18" s="48">
        <f>'Общехозяйст.'!N21</f>
        <v>942.5</v>
      </c>
      <c r="F18" s="48">
        <v>2.1</v>
      </c>
      <c r="G18" s="24">
        <f t="shared" si="2"/>
        <v>4167.200000000001</v>
      </c>
      <c r="H18" s="24">
        <f t="shared" si="0"/>
        <v>2356.6</v>
      </c>
      <c r="I18" s="52">
        <f t="shared" si="1"/>
        <v>711.7000000000003</v>
      </c>
      <c r="J18" s="24">
        <v>3222.6</v>
      </c>
      <c r="K18" s="24">
        <f>J18-'Для корректировки'!Q19</f>
        <v>154.29999999999973</v>
      </c>
      <c r="L18" s="24">
        <f t="shared" si="3"/>
        <v>2.8421709430404007E-13</v>
      </c>
      <c r="M18" s="50"/>
      <c r="N18" s="53"/>
      <c r="O18" s="50"/>
      <c r="P18" s="50"/>
      <c r="Q18" s="21"/>
      <c r="R18" s="21"/>
    </row>
    <row r="19" spans="1:18" ht="15.75">
      <c r="A19" s="6" t="s">
        <v>13</v>
      </c>
      <c r="B19" s="27">
        <v>10</v>
      </c>
      <c r="C19" s="24">
        <f>'Для корректировки'!P20</f>
        <v>2246.4</v>
      </c>
      <c r="D19" s="48">
        <f>'МЗ-корректировка'!P20</f>
        <v>110.89999999999999</v>
      </c>
      <c r="E19" s="48">
        <f>'Общехозяйст.'!N22</f>
        <v>792.5</v>
      </c>
      <c r="F19" s="48">
        <v>2.2</v>
      </c>
      <c r="G19" s="24">
        <f t="shared" si="2"/>
        <v>3152</v>
      </c>
      <c r="H19" s="24">
        <f t="shared" si="0"/>
        <v>1725.3</v>
      </c>
      <c r="I19" s="52">
        <f t="shared" si="1"/>
        <v>521.1000000000001</v>
      </c>
      <c r="J19" s="24">
        <v>2357.3</v>
      </c>
      <c r="K19" s="24">
        <f>J19-'Для корректировки'!Q20</f>
        <v>110.90000000000009</v>
      </c>
      <c r="L19" s="24">
        <f t="shared" si="3"/>
        <v>0</v>
      </c>
      <c r="M19" s="50"/>
      <c r="N19" s="53"/>
      <c r="O19" s="50"/>
      <c r="P19" s="50"/>
      <c r="Q19" s="100"/>
      <c r="R19" s="21"/>
    </row>
    <row r="20" spans="1:18" ht="15.75">
      <c r="A20" s="6" t="s">
        <v>14</v>
      </c>
      <c r="B20" s="27">
        <v>10</v>
      </c>
      <c r="C20" s="24">
        <f>'Для корректировки'!P21</f>
        <v>2139</v>
      </c>
      <c r="D20" s="48">
        <f>'МЗ-корректировка'!P21</f>
        <v>115.4</v>
      </c>
      <c r="E20" s="48">
        <f>'Общехозяйст.'!N23</f>
        <v>770.8</v>
      </c>
      <c r="F20" s="48">
        <v>1.4</v>
      </c>
      <c r="G20" s="24">
        <f t="shared" si="2"/>
        <v>3026.6</v>
      </c>
      <c r="H20" s="24">
        <f t="shared" si="0"/>
        <v>1642.9</v>
      </c>
      <c r="I20" s="52">
        <f t="shared" si="1"/>
        <v>496.0999999999999</v>
      </c>
      <c r="J20" s="24">
        <v>2254.4</v>
      </c>
      <c r="K20" s="24">
        <f>J20-'Для корректировки'!Q21</f>
        <v>115.40000000000009</v>
      </c>
      <c r="L20" s="24">
        <f t="shared" si="3"/>
        <v>0</v>
      </c>
      <c r="M20" s="50"/>
      <c r="N20" s="53"/>
      <c r="O20" s="50"/>
      <c r="P20" s="50"/>
      <c r="Q20" s="21"/>
      <c r="R20" s="21"/>
    </row>
    <row r="21" spans="1:18" s="8" customFormat="1" ht="16.5" customHeight="1">
      <c r="A21" s="7" t="s">
        <v>15</v>
      </c>
      <c r="B21" s="28">
        <v>10</v>
      </c>
      <c r="C21" s="24">
        <f>'Для корректировки'!P22</f>
        <v>2298.3</v>
      </c>
      <c r="D21" s="48">
        <f>'МЗ-корректировка'!P22</f>
        <v>122.9</v>
      </c>
      <c r="E21" s="48">
        <f>'Общехозяйст.'!N24</f>
        <v>867.6</v>
      </c>
      <c r="F21" s="48">
        <v>1</v>
      </c>
      <c r="G21" s="24">
        <f t="shared" si="2"/>
        <v>3289.8</v>
      </c>
      <c r="H21" s="24">
        <f t="shared" si="0"/>
        <v>1765.2</v>
      </c>
      <c r="I21" s="52">
        <f t="shared" si="1"/>
        <v>533.1000000000001</v>
      </c>
      <c r="J21" s="24">
        <v>2421.2</v>
      </c>
      <c r="K21" s="24">
        <f>J21-'Для корректировки'!Q22</f>
        <v>122.89999999999964</v>
      </c>
      <c r="L21" s="24">
        <f t="shared" si="3"/>
        <v>3.694822225952521E-13</v>
      </c>
      <c r="M21" s="54"/>
      <c r="N21" s="55"/>
      <c r="O21" s="50"/>
      <c r="P21" s="50"/>
      <c r="Q21" s="56"/>
      <c r="R21" s="56"/>
    </row>
    <row r="22" spans="1:18" ht="19.5" customHeight="1">
      <c r="A22" s="6" t="s">
        <v>26</v>
      </c>
      <c r="B22" s="27">
        <v>9</v>
      </c>
      <c r="C22" s="24">
        <f>'Для корректировки'!P23</f>
        <v>1138.3000000000002</v>
      </c>
      <c r="D22" s="48">
        <f>'МЗ-корректировка'!P23</f>
        <v>60.9</v>
      </c>
      <c r="E22" s="48">
        <f>'Общехозяйст.'!N25</f>
        <v>606.6</v>
      </c>
      <c r="F22" s="48">
        <v>2</v>
      </c>
      <c r="G22" s="24">
        <f t="shared" si="2"/>
        <v>1807.8000000000002</v>
      </c>
      <c r="H22" s="24">
        <f t="shared" si="0"/>
        <v>874.3</v>
      </c>
      <c r="I22" s="52">
        <f t="shared" si="1"/>
        <v>264.0000000000002</v>
      </c>
      <c r="J22" s="24">
        <v>1199.2</v>
      </c>
      <c r="K22" s="24">
        <f>J22-'Для корректировки'!Q23</f>
        <v>60.90000000000009</v>
      </c>
      <c r="L22" s="24">
        <f t="shared" si="3"/>
        <v>-9.237055564881302E-14</v>
      </c>
      <c r="M22" s="50"/>
      <c r="N22" s="53"/>
      <c r="O22" s="50"/>
      <c r="P22" s="50"/>
      <c r="Q22" s="100"/>
      <c r="R22" s="21"/>
    </row>
    <row r="23" spans="1:18" ht="19.5" customHeight="1">
      <c r="A23" s="6" t="s">
        <v>27</v>
      </c>
      <c r="B23" s="27">
        <v>9</v>
      </c>
      <c r="C23" s="24">
        <f>'Для корректировки'!P24</f>
        <v>1117.1000000000001</v>
      </c>
      <c r="D23" s="48">
        <f>'МЗ-корректировка'!P24</f>
        <v>56.1</v>
      </c>
      <c r="E23" s="48">
        <f>'Общехозяйст.'!N26</f>
        <v>634</v>
      </c>
      <c r="F23" s="48">
        <v>1.1</v>
      </c>
      <c r="G23" s="24">
        <f t="shared" si="2"/>
        <v>1808.3</v>
      </c>
      <c r="H23" s="24">
        <f t="shared" si="0"/>
        <v>858</v>
      </c>
      <c r="I23" s="52">
        <f t="shared" si="1"/>
        <v>259.10000000000014</v>
      </c>
      <c r="J23" s="24">
        <v>1173.2</v>
      </c>
      <c r="K23" s="24">
        <f>J23-'Для корректировки'!Q24</f>
        <v>56.100000000000136</v>
      </c>
      <c r="L23" s="24">
        <f t="shared" si="3"/>
        <v>-1.3500311979441904E-13</v>
      </c>
      <c r="M23" s="50"/>
      <c r="N23" s="53"/>
      <c r="O23" s="50"/>
      <c r="P23" s="50"/>
      <c r="Q23" s="21"/>
      <c r="R23" s="21"/>
    </row>
    <row r="24" spans="1:18" ht="19.5" customHeight="1">
      <c r="A24" s="6" t="s">
        <v>28</v>
      </c>
      <c r="B24" s="27">
        <v>9</v>
      </c>
      <c r="C24" s="24">
        <f>'Для корректировки'!P25</f>
        <v>1143.3999999999999</v>
      </c>
      <c r="D24" s="48">
        <f>'МЗ-корректировка'!P25</f>
        <v>63.199999999999996</v>
      </c>
      <c r="E24" s="48">
        <f>'Общехозяйст.'!N27</f>
        <v>626.5</v>
      </c>
      <c r="F24" s="48">
        <v>0.3</v>
      </c>
      <c r="G24" s="24">
        <f t="shared" si="2"/>
        <v>1833.3999999999999</v>
      </c>
      <c r="H24" s="24">
        <f t="shared" si="0"/>
        <v>878.2</v>
      </c>
      <c r="I24" s="52">
        <f t="shared" si="1"/>
        <v>265.1999999999998</v>
      </c>
      <c r="J24" s="24">
        <v>1206.6</v>
      </c>
      <c r="K24" s="24">
        <f>J24-'Для корректировки'!Q25</f>
        <v>63.19999999999982</v>
      </c>
      <c r="L24" s="24">
        <f t="shared" si="3"/>
        <v>1.7763568394002505E-13</v>
      </c>
      <c r="M24" s="50"/>
      <c r="N24" s="53"/>
      <c r="O24" s="50"/>
      <c r="P24" s="50"/>
      <c r="Q24" s="100"/>
      <c r="R24" s="21"/>
    </row>
    <row r="25" spans="1:18" ht="27.75" customHeight="1">
      <c r="A25" s="6" t="s">
        <v>29</v>
      </c>
      <c r="B25" s="27">
        <v>10</v>
      </c>
      <c r="C25" s="24">
        <f>'Для корректировки'!P26</f>
        <v>1246.9</v>
      </c>
      <c r="D25" s="48">
        <f>'МЗ-корректировка'!P26</f>
        <v>68.10000000000001</v>
      </c>
      <c r="E25" s="48">
        <f>'Общехозяйст.'!N28</f>
        <v>619.6999999999999</v>
      </c>
      <c r="F25" s="48">
        <v>0.6</v>
      </c>
      <c r="G25" s="24">
        <f t="shared" si="2"/>
        <v>1935.2999999999997</v>
      </c>
      <c r="H25" s="24">
        <f t="shared" si="0"/>
        <v>957.7</v>
      </c>
      <c r="I25" s="52">
        <f t="shared" si="1"/>
        <v>289.20000000000005</v>
      </c>
      <c r="J25" s="24">
        <v>1315</v>
      </c>
      <c r="K25" s="24">
        <f>J25-'Для корректировки'!Q26</f>
        <v>68.09999999999991</v>
      </c>
      <c r="L25" s="24">
        <f t="shared" si="3"/>
        <v>0</v>
      </c>
      <c r="M25" s="50"/>
      <c r="N25" s="53"/>
      <c r="O25" s="50"/>
      <c r="P25" s="50"/>
      <c r="Q25" s="100"/>
      <c r="R25" s="21"/>
    </row>
    <row r="26" spans="1:18" ht="22.5" customHeight="1">
      <c r="A26" s="6" t="s">
        <v>16</v>
      </c>
      <c r="B26" s="29">
        <v>10</v>
      </c>
      <c r="C26" s="24">
        <f>'Для корректировки'!P27</f>
        <v>4186.599999999999</v>
      </c>
      <c r="D26" s="48">
        <f>'МЗ-корректировка'!P27</f>
        <v>209.4</v>
      </c>
      <c r="E26" s="48">
        <f>'Общехозяйст.'!N29</f>
        <v>1037.8999999999999</v>
      </c>
      <c r="F26" s="48">
        <v>37.4</v>
      </c>
      <c r="G26" s="24">
        <f t="shared" si="2"/>
        <v>5471.299999999998</v>
      </c>
      <c r="H26" s="24">
        <f t="shared" si="0"/>
        <v>3215.5</v>
      </c>
      <c r="I26" s="52">
        <f t="shared" si="1"/>
        <v>971.0999999999995</v>
      </c>
      <c r="J26" s="24">
        <v>4396</v>
      </c>
      <c r="K26" s="24">
        <f>J26-'Для корректировки'!Q27</f>
        <v>209.39999999999964</v>
      </c>
      <c r="L26" s="24">
        <f t="shared" si="3"/>
        <v>3.694822225952521E-13</v>
      </c>
      <c r="M26" s="50"/>
      <c r="N26" s="53"/>
      <c r="O26" s="50"/>
      <c r="P26" s="50"/>
      <c r="Q26" s="21"/>
      <c r="R26" s="21"/>
    </row>
    <row r="27" spans="1:18" ht="18.75" customHeight="1">
      <c r="A27" s="6" t="s">
        <v>17</v>
      </c>
      <c r="B27" s="27">
        <v>10</v>
      </c>
      <c r="C27" s="24">
        <f>'Для корректировки'!P28</f>
        <v>5354.599999999999</v>
      </c>
      <c r="D27" s="48">
        <f>'МЗ-корректировка'!P28</f>
        <v>269.8</v>
      </c>
      <c r="E27" s="48">
        <f>'Общехозяйст.'!N30</f>
        <v>1022.8000000000001</v>
      </c>
      <c r="F27" s="48">
        <v>32.5</v>
      </c>
      <c r="G27" s="24">
        <f t="shared" si="2"/>
        <v>6679.7</v>
      </c>
      <c r="H27" s="24">
        <f t="shared" si="0"/>
        <v>4112.6</v>
      </c>
      <c r="I27" s="52">
        <f t="shared" si="1"/>
        <v>1241.999999999999</v>
      </c>
      <c r="J27" s="24">
        <v>5624.4</v>
      </c>
      <c r="K27" s="24">
        <f>J27-'Для корректировки'!Q28</f>
        <v>269.7999999999993</v>
      </c>
      <c r="L27" s="24">
        <f t="shared" si="3"/>
        <v>7.389644451905042E-13</v>
      </c>
      <c r="M27" s="50"/>
      <c r="N27" s="53"/>
      <c r="O27" s="50"/>
      <c r="P27" s="50"/>
      <c r="Q27" s="21"/>
      <c r="R27" s="21"/>
    </row>
    <row r="28" spans="1:18" s="8" customFormat="1" ht="25.5" customHeight="1">
      <c r="A28" s="7" t="s">
        <v>18</v>
      </c>
      <c r="B28" s="28">
        <v>10</v>
      </c>
      <c r="C28" s="24">
        <f>'Для корректировки'!P29</f>
        <v>6953.3</v>
      </c>
      <c r="D28" s="48">
        <f>'МЗ-корректировка'!P29</f>
        <v>338.3</v>
      </c>
      <c r="E28" s="48">
        <f>'Общехозяйст.'!N31</f>
        <v>1203.8</v>
      </c>
      <c r="F28" s="48">
        <v>58.5</v>
      </c>
      <c r="G28" s="24">
        <f t="shared" si="2"/>
        <v>8553.9</v>
      </c>
      <c r="H28" s="24">
        <f t="shared" si="0"/>
        <v>5340.5</v>
      </c>
      <c r="I28" s="52">
        <f t="shared" si="1"/>
        <v>1612.8000000000002</v>
      </c>
      <c r="J28" s="24">
        <v>7291.6</v>
      </c>
      <c r="K28" s="24">
        <f>J28-'Для корректировки'!Q29</f>
        <v>338.3000000000002</v>
      </c>
      <c r="L28" s="24">
        <f t="shared" si="3"/>
        <v>0</v>
      </c>
      <c r="M28" s="54"/>
      <c r="N28" s="55"/>
      <c r="O28" s="50"/>
      <c r="P28" s="50"/>
      <c r="Q28" s="56"/>
      <c r="R28" s="56"/>
    </row>
    <row r="29" spans="1:18" ht="15.75">
      <c r="A29" s="6" t="s">
        <v>19</v>
      </c>
      <c r="B29" s="27">
        <v>10</v>
      </c>
      <c r="C29" s="24">
        <f>'Для корректировки'!P30</f>
        <v>4797.5</v>
      </c>
      <c r="D29" s="48">
        <f>'МЗ-корректировка'!P30</f>
        <v>242.5</v>
      </c>
      <c r="E29" s="48">
        <f>'Общехозяйст.'!N32</f>
        <v>1195.3</v>
      </c>
      <c r="F29" s="48">
        <v>47.2</v>
      </c>
      <c r="G29" s="24">
        <f t="shared" si="2"/>
        <v>6282.5</v>
      </c>
      <c r="H29" s="24">
        <f t="shared" si="0"/>
        <v>3684.7</v>
      </c>
      <c r="I29" s="52">
        <f t="shared" si="1"/>
        <v>1112.8000000000002</v>
      </c>
      <c r="J29" s="24">
        <v>5040</v>
      </c>
      <c r="K29" s="24">
        <f>J29-'Для корректировки'!Q30</f>
        <v>242.5</v>
      </c>
      <c r="L29" s="24">
        <f t="shared" si="3"/>
        <v>0</v>
      </c>
      <c r="M29" s="50"/>
      <c r="N29" s="21"/>
      <c r="O29" s="50"/>
      <c r="P29" s="50"/>
      <c r="Q29" s="21"/>
      <c r="R29" s="21"/>
    </row>
    <row r="30" spans="1:18" ht="15.75">
      <c r="A30" s="6" t="s">
        <v>20</v>
      </c>
      <c r="B30" s="27">
        <v>10</v>
      </c>
      <c r="C30" s="24">
        <f>'Для корректировки'!P31</f>
        <v>5594.3</v>
      </c>
      <c r="D30" s="48">
        <f>'МЗ-корректировка'!P31</f>
        <v>269.2</v>
      </c>
      <c r="E30" s="48">
        <f>'Общехозяйст.'!N33</f>
        <v>1374.3999999999999</v>
      </c>
      <c r="F30" s="48">
        <v>5.9</v>
      </c>
      <c r="G30" s="24">
        <f t="shared" si="2"/>
        <v>7243.799999999999</v>
      </c>
      <c r="H30" s="24">
        <f t="shared" si="0"/>
        <v>4296.7</v>
      </c>
      <c r="I30" s="52">
        <f t="shared" si="1"/>
        <v>1297.6000000000004</v>
      </c>
      <c r="J30" s="24">
        <v>5863.5</v>
      </c>
      <c r="K30" s="24">
        <f>J30-'Для корректировки'!Q31</f>
        <v>269.1999999999998</v>
      </c>
      <c r="L30" s="24">
        <f t="shared" si="3"/>
        <v>0</v>
      </c>
      <c r="M30" s="50"/>
      <c r="N30" s="21"/>
      <c r="O30" s="50"/>
      <c r="P30" s="50"/>
      <c r="Q30" s="21"/>
      <c r="R30" s="21"/>
    </row>
    <row r="31" spans="1:18" ht="20.25" customHeight="1">
      <c r="A31" s="6" t="s">
        <v>30</v>
      </c>
      <c r="B31" s="27">
        <v>10</v>
      </c>
      <c r="C31" s="24">
        <f>'Для корректировки'!P32</f>
        <v>1154.7</v>
      </c>
      <c r="D31" s="48">
        <f>'МЗ-корректировка'!P32</f>
        <v>67</v>
      </c>
      <c r="E31" s="48">
        <f>'Общехозяйст.'!N34</f>
        <v>605</v>
      </c>
      <c r="F31" s="48">
        <v>0.5</v>
      </c>
      <c r="G31" s="24">
        <f t="shared" si="2"/>
        <v>1827.2</v>
      </c>
      <c r="H31" s="24">
        <f t="shared" si="0"/>
        <v>886.9</v>
      </c>
      <c r="I31" s="52">
        <f t="shared" si="1"/>
        <v>267.80000000000007</v>
      </c>
      <c r="J31" s="24">
        <v>1221.7</v>
      </c>
      <c r="K31" s="24">
        <f>J31-'Для корректировки'!Q32</f>
        <v>67</v>
      </c>
      <c r="L31" s="24">
        <f t="shared" si="3"/>
        <v>0</v>
      </c>
      <c r="M31" s="50"/>
      <c r="N31" s="53"/>
      <c r="O31" s="50"/>
      <c r="P31" s="50"/>
      <c r="Q31" s="100"/>
      <c r="R31" s="21"/>
    </row>
    <row r="32" spans="1:18" ht="15.75">
      <c r="A32" s="6" t="s">
        <v>31</v>
      </c>
      <c r="B32" s="27">
        <v>10</v>
      </c>
      <c r="C32" s="24">
        <f>'Для корректировки'!P33</f>
        <v>1220.7</v>
      </c>
      <c r="D32" s="48">
        <f>'МЗ-корректировка'!P33</f>
        <v>65.10000000000001</v>
      </c>
      <c r="E32" s="48">
        <f>'Общехозяйст.'!N35</f>
        <v>463.7</v>
      </c>
      <c r="F32" s="48">
        <v>1.1</v>
      </c>
      <c r="G32" s="24">
        <f t="shared" si="2"/>
        <v>1750.6</v>
      </c>
      <c r="H32" s="24">
        <f t="shared" si="0"/>
        <v>937.6</v>
      </c>
      <c r="I32" s="52">
        <f t="shared" si="1"/>
        <v>283.1</v>
      </c>
      <c r="J32" s="24">
        <v>1285.8</v>
      </c>
      <c r="K32" s="24">
        <f>J32-'Для корректировки'!Q33</f>
        <v>65.09999999999991</v>
      </c>
      <c r="L32" s="24">
        <f t="shared" si="3"/>
        <v>0</v>
      </c>
      <c r="M32" s="50"/>
      <c r="N32" s="53"/>
      <c r="O32" s="50"/>
      <c r="P32" s="50"/>
      <c r="Q32" s="21"/>
      <c r="R32" s="21"/>
    </row>
    <row r="33" spans="1:18" ht="21" customHeight="1">
      <c r="A33" s="6" t="s">
        <v>21</v>
      </c>
      <c r="B33" s="27">
        <v>10</v>
      </c>
      <c r="C33" s="24">
        <f>'Для корректировки'!P34</f>
        <v>2147.7</v>
      </c>
      <c r="D33" s="48">
        <f>'МЗ-корректировка'!P34</f>
        <v>111.39999999999999</v>
      </c>
      <c r="E33" s="48">
        <f>'Общехозяйст.'!N36</f>
        <v>597.5999999999999</v>
      </c>
      <c r="F33" s="48">
        <v>2.9</v>
      </c>
      <c r="G33" s="24">
        <f t="shared" si="2"/>
        <v>2859.6</v>
      </c>
      <c r="H33" s="24">
        <f t="shared" si="0"/>
        <v>1649.5</v>
      </c>
      <c r="I33" s="52">
        <f t="shared" si="1"/>
        <v>498.1999999999998</v>
      </c>
      <c r="J33" s="24">
        <v>2259.1</v>
      </c>
      <c r="K33" s="24">
        <f>J33-'Для корректировки'!Q34</f>
        <v>111.40000000000009</v>
      </c>
      <c r="L33" s="24">
        <f t="shared" si="3"/>
        <v>0</v>
      </c>
      <c r="M33" s="50"/>
      <c r="N33" s="53"/>
      <c r="O33" s="50"/>
      <c r="P33" s="50"/>
      <c r="Q33" s="21"/>
      <c r="R33" s="21"/>
    </row>
    <row r="34" spans="1:18" ht="21" customHeight="1">
      <c r="A34" s="6" t="s">
        <v>32</v>
      </c>
      <c r="B34" s="27">
        <v>9</v>
      </c>
      <c r="C34" s="24">
        <f>'Для корректировки'!P35</f>
        <v>1115.9</v>
      </c>
      <c r="D34" s="48">
        <f>'МЗ-корректировка'!P35</f>
        <v>59.5</v>
      </c>
      <c r="E34" s="48">
        <f>'Общехозяйст.'!N37</f>
        <v>680.2</v>
      </c>
      <c r="F34" s="48">
        <v>3.6</v>
      </c>
      <c r="G34" s="24">
        <f t="shared" si="2"/>
        <v>1859.2</v>
      </c>
      <c r="H34" s="24">
        <f t="shared" si="0"/>
        <v>857.1</v>
      </c>
      <c r="I34" s="52">
        <f t="shared" si="1"/>
        <v>258.80000000000007</v>
      </c>
      <c r="J34" s="24">
        <v>1175.4</v>
      </c>
      <c r="K34" s="24">
        <f>J34-'Для корректировки'!Q35</f>
        <v>59.5</v>
      </c>
      <c r="L34" s="24">
        <f t="shared" si="3"/>
        <v>0</v>
      </c>
      <c r="M34" s="50"/>
      <c r="N34" s="53"/>
      <c r="O34" s="50"/>
      <c r="P34" s="50"/>
      <c r="Q34" s="21"/>
      <c r="R34" s="21"/>
    </row>
    <row r="35" spans="1:18" ht="15.75">
      <c r="A35" s="6" t="s">
        <v>33</v>
      </c>
      <c r="B35" s="27">
        <v>10</v>
      </c>
      <c r="C35" s="24">
        <f>'Для корректировки'!P36</f>
        <v>1996.8999999999999</v>
      </c>
      <c r="D35" s="48">
        <f>'МЗ-корректировка'!P36</f>
        <v>104.6</v>
      </c>
      <c r="E35" s="48">
        <f>'Общехозяйст.'!N38</f>
        <v>686.3</v>
      </c>
      <c r="F35" s="48">
        <v>0.6</v>
      </c>
      <c r="G35" s="24">
        <f t="shared" si="2"/>
        <v>2788.4</v>
      </c>
      <c r="H35" s="24">
        <f t="shared" si="0"/>
        <v>1533.7</v>
      </c>
      <c r="I35" s="52">
        <f t="shared" si="1"/>
        <v>463.1999999999998</v>
      </c>
      <c r="J35" s="24">
        <v>2101.5</v>
      </c>
      <c r="K35" s="24">
        <f>J35-'Для корректировки'!Q36</f>
        <v>104.59999999999991</v>
      </c>
      <c r="L35" s="24">
        <f t="shared" si="3"/>
        <v>0</v>
      </c>
      <c r="M35" s="50"/>
      <c r="N35" s="53"/>
      <c r="O35" s="50"/>
      <c r="P35" s="50"/>
      <c r="Q35" s="21"/>
      <c r="R35" s="21"/>
    </row>
    <row r="36" spans="1:18" ht="15.75">
      <c r="A36" s="6" t="s">
        <v>34</v>
      </c>
      <c r="B36" s="27">
        <v>10</v>
      </c>
      <c r="C36" s="24">
        <f>'Для корректировки'!P37</f>
        <v>1316.3999999999999</v>
      </c>
      <c r="D36" s="48">
        <f>'МЗ-корректировка'!P37</f>
        <v>74.3</v>
      </c>
      <c r="E36" s="48">
        <f>'Общехозяйст.'!N39</f>
        <v>122.80000000000001</v>
      </c>
      <c r="F36" s="48">
        <v>16.3</v>
      </c>
      <c r="G36" s="24">
        <f t="shared" si="2"/>
        <v>1529.7999999999997</v>
      </c>
      <c r="H36" s="24">
        <f t="shared" si="0"/>
        <v>1011.1</v>
      </c>
      <c r="I36" s="52">
        <f t="shared" si="1"/>
        <v>305.29999999999984</v>
      </c>
      <c r="J36" s="24">
        <v>1390.7</v>
      </c>
      <c r="K36" s="24">
        <f>J36-'Для корректировки'!Q37</f>
        <v>74.29999999999995</v>
      </c>
      <c r="L36" s="24">
        <f t="shared" si="3"/>
        <v>0</v>
      </c>
      <c r="M36" s="50"/>
      <c r="N36" s="53"/>
      <c r="O36" s="50"/>
      <c r="P36" s="50"/>
      <c r="Q36" s="21"/>
      <c r="R36" s="21"/>
    </row>
    <row r="37" spans="1:18" ht="15.75">
      <c r="A37" s="6" t="s">
        <v>35</v>
      </c>
      <c r="B37" s="27">
        <v>10</v>
      </c>
      <c r="C37" s="24">
        <f>'Для корректировки'!P38</f>
        <v>2397.8999999999996</v>
      </c>
      <c r="D37" s="48">
        <f>'МЗ-корректировка'!P38</f>
        <v>131</v>
      </c>
      <c r="E37" s="48">
        <f>'Общехозяйст.'!N40</f>
        <v>1029.5</v>
      </c>
      <c r="F37" s="48">
        <v>2.6</v>
      </c>
      <c r="G37" s="24">
        <f t="shared" si="2"/>
        <v>3560.9999999999995</v>
      </c>
      <c r="H37" s="24">
        <f t="shared" si="0"/>
        <v>1841.7</v>
      </c>
      <c r="I37" s="52">
        <f t="shared" si="1"/>
        <v>556.1999999999996</v>
      </c>
      <c r="J37" s="24">
        <v>2528.9</v>
      </c>
      <c r="K37" s="24">
        <f>J37-'Для корректировки'!Q38</f>
        <v>131</v>
      </c>
      <c r="L37" s="24">
        <f t="shared" si="3"/>
        <v>0</v>
      </c>
      <c r="M37" s="50"/>
      <c r="N37" s="53"/>
      <c r="O37" s="50"/>
      <c r="P37" s="50"/>
      <c r="Q37" s="100"/>
      <c r="R37" s="21"/>
    </row>
    <row r="38" spans="1:18" s="8" customFormat="1" ht="16.5" customHeight="1">
      <c r="A38" s="7" t="s">
        <v>36</v>
      </c>
      <c r="B38" s="28">
        <v>9</v>
      </c>
      <c r="C38" s="24">
        <f>'Для корректировки'!P39</f>
        <v>1125.1</v>
      </c>
      <c r="D38" s="48">
        <f>'МЗ-корректировка'!P39</f>
        <v>63.5</v>
      </c>
      <c r="E38" s="48">
        <f>'Общехозяйст.'!N41</f>
        <v>370.4</v>
      </c>
      <c r="F38" s="48">
        <v>4.8</v>
      </c>
      <c r="G38" s="24">
        <f t="shared" si="2"/>
        <v>1563.8</v>
      </c>
      <c r="H38" s="24">
        <f t="shared" si="0"/>
        <v>864.1</v>
      </c>
      <c r="I38" s="52">
        <f t="shared" si="1"/>
        <v>260.9999999999999</v>
      </c>
      <c r="J38" s="24">
        <v>1188.6</v>
      </c>
      <c r="K38" s="24">
        <f>J38-'Для корректировки'!Q39</f>
        <v>63.5</v>
      </c>
      <c r="L38" s="24">
        <f t="shared" si="3"/>
        <v>0</v>
      </c>
      <c r="M38" s="54"/>
      <c r="N38" s="55"/>
      <c r="O38" s="50"/>
      <c r="P38" s="50"/>
      <c r="Q38" s="56"/>
      <c r="R38" s="56"/>
    </row>
    <row r="39" spans="1:18" s="8" customFormat="1" ht="15" customHeight="1">
      <c r="A39" s="7" t="s">
        <v>37</v>
      </c>
      <c r="B39" s="28">
        <v>10</v>
      </c>
      <c r="C39" s="24">
        <f>'Для корректировки'!P40</f>
        <v>2224.9</v>
      </c>
      <c r="D39" s="48">
        <f>'МЗ-корректировка'!P40</f>
        <v>115</v>
      </c>
      <c r="E39" s="48">
        <f>'Общехозяйст.'!N42</f>
        <v>680.6999999999999</v>
      </c>
      <c r="F39" s="48">
        <v>0.8</v>
      </c>
      <c r="G39" s="24">
        <f t="shared" si="2"/>
        <v>3021.4</v>
      </c>
      <c r="H39" s="24">
        <f t="shared" si="0"/>
        <v>1708.8</v>
      </c>
      <c r="I39" s="52">
        <f t="shared" si="1"/>
        <v>516.1000000000001</v>
      </c>
      <c r="J39" s="24">
        <v>2339.9</v>
      </c>
      <c r="K39" s="24">
        <f>J39-'Для корректировки'!Q40</f>
        <v>115</v>
      </c>
      <c r="L39" s="24">
        <f t="shared" si="3"/>
        <v>0</v>
      </c>
      <c r="M39" s="54"/>
      <c r="N39" s="55"/>
      <c r="O39" s="50"/>
      <c r="P39" s="50"/>
      <c r="Q39" s="56"/>
      <c r="R39" s="56"/>
    </row>
    <row r="40" spans="1:18" ht="18.75" customHeight="1">
      <c r="A40" s="6" t="s">
        <v>38</v>
      </c>
      <c r="B40" s="27">
        <v>10</v>
      </c>
      <c r="C40" s="24">
        <f>'Для корректировки'!P41</f>
        <v>3168.2999999999997</v>
      </c>
      <c r="D40" s="48">
        <f>'МЗ-корректировка'!P41</f>
        <v>161.3</v>
      </c>
      <c r="E40" s="48">
        <f>'Общехозяйст.'!N43</f>
        <v>1102.6</v>
      </c>
      <c r="F40" s="48">
        <v>25.6</v>
      </c>
      <c r="G40" s="24">
        <f t="shared" si="2"/>
        <v>4457.8</v>
      </c>
      <c r="H40" s="24">
        <f t="shared" si="0"/>
        <v>2433.4</v>
      </c>
      <c r="I40" s="52">
        <f t="shared" si="1"/>
        <v>734.8999999999996</v>
      </c>
      <c r="J40" s="24">
        <v>3329.6</v>
      </c>
      <c r="K40" s="24">
        <f>J40-'Для корректировки'!Q41</f>
        <v>161.29999999999973</v>
      </c>
      <c r="L40" s="24">
        <f t="shared" si="3"/>
        <v>2.8421709430404007E-13</v>
      </c>
      <c r="M40" s="50"/>
      <c r="N40" s="53"/>
      <c r="O40" s="50"/>
      <c r="P40" s="50"/>
      <c r="Q40" s="21"/>
      <c r="R40" s="21"/>
    </row>
    <row r="41" spans="1:18" ht="15.75">
      <c r="A41" s="6" t="s">
        <v>39</v>
      </c>
      <c r="B41" s="27">
        <v>9</v>
      </c>
      <c r="C41" s="24">
        <f>'Для корректировки'!P42</f>
        <v>1119.6</v>
      </c>
      <c r="D41" s="48">
        <f>'МЗ-корректировка'!P42</f>
        <v>66.6</v>
      </c>
      <c r="E41" s="48">
        <f>'Общехозяйст.'!N44</f>
        <v>689.1</v>
      </c>
      <c r="F41" s="48">
        <v>1.4</v>
      </c>
      <c r="G41" s="24">
        <f t="shared" si="2"/>
        <v>1876.6999999999998</v>
      </c>
      <c r="H41" s="24">
        <f t="shared" si="0"/>
        <v>859.9</v>
      </c>
      <c r="I41" s="52">
        <f t="shared" si="1"/>
        <v>259.69999999999993</v>
      </c>
      <c r="J41" s="24">
        <v>1186.2</v>
      </c>
      <c r="K41" s="24">
        <f>J41-'Для корректировки'!Q42</f>
        <v>66.60000000000014</v>
      </c>
      <c r="L41" s="24">
        <f t="shared" si="3"/>
        <v>-1.4210854715202004E-13</v>
      </c>
      <c r="M41" s="50"/>
      <c r="N41" s="53"/>
      <c r="O41" s="50"/>
      <c r="P41" s="50"/>
      <c r="Q41" s="21"/>
      <c r="R41" s="21"/>
    </row>
    <row r="42" spans="1:18" ht="14.25" customHeight="1">
      <c r="A42" s="6" t="s">
        <v>22</v>
      </c>
      <c r="B42" s="30">
        <v>10</v>
      </c>
      <c r="C42" s="24">
        <f>'Для корректировки'!P43</f>
        <v>2055.3999999999996</v>
      </c>
      <c r="D42" s="48">
        <f>'МЗ-корректировка'!P43</f>
        <v>119.4</v>
      </c>
      <c r="E42" s="48">
        <f>'Общехозяйст.'!N45</f>
        <v>674.0999999999999</v>
      </c>
      <c r="F42" s="48">
        <v>2.9</v>
      </c>
      <c r="G42" s="24">
        <f t="shared" si="2"/>
        <v>2851.7999999999997</v>
      </c>
      <c r="H42" s="24">
        <f t="shared" si="0"/>
        <v>1578.6</v>
      </c>
      <c r="I42" s="52">
        <f t="shared" si="1"/>
        <v>476.7999999999997</v>
      </c>
      <c r="J42" s="24">
        <v>2174.8</v>
      </c>
      <c r="K42" s="24">
        <f>J42-'Для корректировки'!Q43</f>
        <v>119.40000000000009</v>
      </c>
      <c r="L42" s="24">
        <f t="shared" si="3"/>
        <v>0</v>
      </c>
      <c r="M42" s="50"/>
      <c r="N42" s="53"/>
      <c r="O42" s="50"/>
      <c r="P42" s="50"/>
      <c r="Q42" s="21"/>
      <c r="R42" s="21"/>
    </row>
    <row r="43" spans="1:18" ht="15.75">
      <c r="A43" s="6" t="s">
        <v>40</v>
      </c>
      <c r="B43" s="27">
        <v>10</v>
      </c>
      <c r="C43" s="24">
        <f>'Для корректировки'!P44</f>
        <v>1319.2</v>
      </c>
      <c r="D43" s="48">
        <f>'МЗ-корректировка'!P44</f>
        <v>70.7</v>
      </c>
      <c r="E43" s="48">
        <f>'Общехозяйст.'!N46</f>
        <v>690.6</v>
      </c>
      <c r="F43" s="48">
        <v>0.7</v>
      </c>
      <c r="G43" s="24">
        <f t="shared" si="2"/>
        <v>2081.2</v>
      </c>
      <c r="H43" s="24">
        <f t="shared" si="0"/>
        <v>1013.2</v>
      </c>
      <c r="I43" s="52">
        <f t="shared" si="1"/>
        <v>306</v>
      </c>
      <c r="J43" s="24">
        <v>1389.9</v>
      </c>
      <c r="K43" s="24">
        <f>J43-'Для корректировки'!Q44</f>
        <v>70.70000000000005</v>
      </c>
      <c r="L43" s="24">
        <f t="shared" si="3"/>
        <v>0</v>
      </c>
      <c r="M43" s="50"/>
      <c r="N43" s="53"/>
      <c r="O43" s="50"/>
      <c r="P43" s="50"/>
      <c r="Q43" s="21"/>
      <c r="R43" s="21"/>
    </row>
    <row r="44" spans="1:18" ht="15.75">
      <c r="A44" s="6" t="s">
        <v>41</v>
      </c>
      <c r="B44" s="27">
        <v>9</v>
      </c>
      <c r="C44" s="24">
        <f>'Для корректировки'!P45</f>
        <v>1086.8</v>
      </c>
      <c r="D44" s="48">
        <f>'МЗ-корректировка'!P45</f>
        <v>58.8</v>
      </c>
      <c r="E44" s="48">
        <f>'Общехозяйст.'!N47</f>
        <v>527</v>
      </c>
      <c r="F44" s="48">
        <v>0.2</v>
      </c>
      <c r="G44" s="24">
        <f t="shared" si="2"/>
        <v>1672.8</v>
      </c>
      <c r="H44" s="24">
        <f t="shared" si="0"/>
        <v>834.7</v>
      </c>
      <c r="I44" s="52">
        <f t="shared" si="1"/>
        <v>252.0999999999999</v>
      </c>
      <c r="J44" s="24">
        <v>1145.6</v>
      </c>
      <c r="K44" s="24">
        <f>J44-'Для корректировки'!Q45</f>
        <v>58.799999999999955</v>
      </c>
      <c r="L44" s="24">
        <f t="shared" si="3"/>
        <v>0</v>
      </c>
      <c r="M44" s="50"/>
      <c r="N44" s="53"/>
      <c r="O44" s="50"/>
      <c r="P44" s="50"/>
      <c r="Q44" s="21"/>
      <c r="R44" s="21"/>
    </row>
    <row r="45" spans="1:18" ht="22.5" customHeight="1">
      <c r="A45" s="6" t="s">
        <v>42</v>
      </c>
      <c r="B45" s="27">
        <v>10</v>
      </c>
      <c r="C45" s="24">
        <f>'Для корректировки'!P46</f>
        <v>1268.5</v>
      </c>
      <c r="D45" s="48">
        <f>'МЗ-корректировка'!P46</f>
        <v>69.19999999999999</v>
      </c>
      <c r="E45" s="48">
        <f>'Общехозяйст.'!N48</f>
        <v>534.2</v>
      </c>
      <c r="F45" s="48">
        <v>8.5</v>
      </c>
      <c r="G45" s="24">
        <f t="shared" si="2"/>
        <v>1880.4</v>
      </c>
      <c r="H45" s="24">
        <f t="shared" si="0"/>
        <v>974.3</v>
      </c>
      <c r="I45" s="52">
        <f t="shared" si="1"/>
        <v>294.20000000000005</v>
      </c>
      <c r="J45" s="24">
        <v>1337.7</v>
      </c>
      <c r="K45" s="24">
        <f>J45-'Для корректировки'!Q46</f>
        <v>69.20000000000005</v>
      </c>
      <c r="L45" s="24">
        <f t="shared" si="3"/>
        <v>0</v>
      </c>
      <c r="M45" s="50"/>
      <c r="N45" s="53"/>
      <c r="O45" s="50"/>
      <c r="P45" s="50"/>
      <c r="Q45" s="100"/>
      <c r="R45" s="21"/>
    </row>
    <row r="46" spans="1:18" ht="15.75">
      <c r="A46" s="6" t="s">
        <v>23</v>
      </c>
      <c r="B46" s="27">
        <v>9</v>
      </c>
      <c r="C46" s="24">
        <f>'Для корректировки'!P47</f>
        <v>802.5</v>
      </c>
      <c r="D46" s="48">
        <f>'МЗ-корректировка'!P47</f>
        <v>39.5</v>
      </c>
      <c r="E46" s="48">
        <f>'Общехозяйст.'!N49</f>
        <v>471.2</v>
      </c>
      <c r="F46" s="48">
        <v>95.6</v>
      </c>
      <c r="G46" s="24">
        <f t="shared" si="2"/>
        <v>1408.8</v>
      </c>
      <c r="H46" s="24">
        <f t="shared" si="0"/>
        <v>616.4</v>
      </c>
      <c r="I46" s="52">
        <f t="shared" si="1"/>
        <v>186.10000000000002</v>
      </c>
      <c r="J46" s="24">
        <v>842</v>
      </c>
      <c r="K46" s="24">
        <f>J46-'Для корректировки'!Q47</f>
        <v>39.5</v>
      </c>
      <c r="L46" s="24">
        <f t="shared" si="3"/>
        <v>0</v>
      </c>
      <c r="M46" s="50"/>
      <c r="N46" s="53"/>
      <c r="O46" s="50"/>
      <c r="P46" s="50"/>
      <c r="Q46" s="21"/>
      <c r="R46" s="21"/>
    </row>
    <row r="47" spans="1:18" ht="18" customHeight="1">
      <c r="A47" s="6" t="s">
        <v>43</v>
      </c>
      <c r="B47" s="27">
        <v>10</v>
      </c>
      <c r="C47" s="24">
        <f>'Для корректировки'!P48</f>
        <v>1318.8000000000002</v>
      </c>
      <c r="D47" s="48">
        <f>'МЗ-корректировка'!P48</f>
        <v>69</v>
      </c>
      <c r="E47" s="48">
        <f>'Общехозяйст.'!N50</f>
        <v>452.5</v>
      </c>
      <c r="F47" s="48">
        <v>0.7</v>
      </c>
      <c r="G47" s="24">
        <f t="shared" si="2"/>
        <v>1841.0000000000002</v>
      </c>
      <c r="H47" s="24">
        <f t="shared" si="0"/>
        <v>1012.9</v>
      </c>
      <c r="I47" s="52">
        <f t="shared" si="1"/>
        <v>305.9000000000002</v>
      </c>
      <c r="J47" s="24">
        <v>1387.8</v>
      </c>
      <c r="K47" s="24">
        <f>J47-'Для корректировки'!Q48</f>
        <v>69</v>
      </c>
      <c r="L47" s="24">
        <f t="shared" si="3"/>
        <v>0</v>
      </c>
      <c r="M47" s="50"/>
      <c r="N47" s="53"/>
      <c r="O47" s="50"/>
      <c r="P47" s="50"/>
      <c r="Q47" s="21"/>
      <c r="R47" s="21"/>
    </row>
    <row r="48" spans="1:18" ht="34.5" customHeight="1">
      <c r="A48" s="7" t="s">
        <v>44</v>
      </c>
      <c r="B48" s="28">
        <v>9</v>
      </c>
      <c r="C48" s="24">
        <f>'Для корректировки'!P49</f>
        <v>1068.5</v>
      </c>
      <c r="D48" s="48">
        <f>'МЗ-корректировка'!P49</f>
        <v>54.5</v>
      </c>
      <c r="E48" s="48">
        <f>'Общехозяйст.'!N51</f>
        <v>273.7</v>
      </c>
      <c r="F48" s="48">
        <v>0</v>
      </c>
      <c r="G48" s="24">
        <f t="shared" si="2"/>
        <v>1396.7</v>
      </c>
      <c r="H48" s="24">
        <f t="shared" si="0"/>
        <v>820.7</v>
      </c>
      <c r="I48" s="52">
        <f t="shared" si="1"/>
        <v>247.79999999999995</v>
      </c>
      <c r="J48" s="24">
        <v>1123</v>
      </c>
      <c r="K48" s="24">
        <f>J48-'Для корректировки'!Q49</f>
        <v>54.5</v>
      </c>
      <c r="L48" s="24">
        <f t="shared" si="3"/>
        <v>0</v>
      </c>
      <c r="M48" s="50"/>
      <c r="N48" s="21"/>
      <c r="O48" s="50"/>
      <c r="P48" s="50"/>
      <c r="Q48" s="21"/>
      <c r="R48" s="21"/>
    </row>
    <row r="49" spans="1:18" s="8" customFormat="1" ht="31.5">
      <c r="A49" s="7" t="s">
        <v>45</v>
      </c>
      <c r="B49" s="28">
        <v>10</v>
      </c>
      <c r="C49" s="24">
        <f>'Для корректировки'!P50</f>
        <v>1206.2</v>
      </c>
      <c r="D49" s="48">
        <f>'МЗ-корректировка'!P50</f>
        <v>60</v>
      </c>
      <c r="E49" s="48">
        <f>'Общехозяйст.'!N52</f>
        <v>387</v>
      </c>
      <c r="F49" s="48">
        <v>4.8</v>
      </c>
      <c r="G49" s="24">
        <f t="shared" si="2"/>
        <v>1658</v>
      </c>
      <c r="H49" s="24">
        <f t="shared" si="0"/>
        <v>926.4</v>
      </c>
      <c r="I49" s="52">
        <f t="shared" si="1"/>
        <v>279.80000000000007</v>
      </c>
      <c r="J49" s="24">
        <v>1266.2</v>
      </c>
      <c r="K49" s="24">
        <f>J49-'Для корректировки'!Q50</f>
        <v>60</v>
      </c>
      <c r="L49" s="24">
        <f t="shared" si="3"/>
        <v>0</v>
      </c>
      <c r="M49" s="54"/>
      <c r="N49" s="56"/>
      <c r="O49" s="50"/>
      <c r="P49" s="50"/>
      <c r="Q49" s="56"/>
      <c r="R49" s="56"/>
    </row>
    <row r="50" spans="1:18" ht="48" thickBot="1">
      <c r="A50" s="76" t="s">
        <v>52</v>
      </c>
      <c r="B50" s="154"/>
      <c r="C50" s="155">
        <f aca="true" t="shared" si="4" ref="C50:I50">SUM(C5:C49)</f>
        <v>192608.19999999995</v>
      </c>
      <c r="D50" s="155">
        <f t="shared" si="4"/>
        <v>9855.999999999998</v>
      </c>
      <c r="E50" s="155">
        <f t="shared" si="4"/>
        <v>44636.59999999998</v>
      </c>
      <c r="F50" s="155">
        <f t="shared" si="4"/>
        <v>2144.7</v>
      </c>
      <c r="G50" s="155">
        <f t="shared" si="4"/>
        <v>249245.4999999999</v>
      </c>
      <c r="H50" s="24">
        <f t="shared" si="4"/>
        <v>147932.6</v>
      </c>
      <c r="I50" s="52">
        <f t="shared" si="4"/>
        <v>44675.59999999999</v>
      </c>
      <c r="J50" s="24">
        <f>SUM(J5:J49)</f>
        <v>202464.20000000004</v>
      </c>
      <c r="K50" s="24">
        <f>SUM(K5:K49)</f>
        <v>9855.999999999996</v>
      </c>
      <c r="L50" s="24">
        <f>SUM(L5:L49)</f>
        <v>-1.9184653865522705E-13</v>
      </c>
      <c r="M50" s="50"/>
      <c r="N50" s="50"/>
      <c r="O50" s="50"/>
      <c r="P50" s="50"/>
      <c r="Q50" s="21"/>
      <c r="R50" s="21"/>
    </row>
    <row r="51" spans="1:18" ht="18" customHeight="1">
      <c r="A51" s="9"/>
      <c r="B51" s="9"/>
      <c r="J51" s="21"/>
      <c r="K51" s="21"/>
      <c r="L51" s="21"/>
      <c r="M51" s="21"/>
      <c r="N51" s="21"/>
      <c r="O51" s="21"/>
      <c r="P51" s="21"/>
      <c r="Q51" s="21"/>
      <c r="R51" s="21"/>
    </row>
    <row r="52" spans="1:18" ht="15.75">
      <c r="A52" s="10"/>
      <c r="B52" s="10"/>
      <c r="D52" s="32"/>
      <c r="H52" s="32"/>
      <c r="J52" s="21"/>
      <c r="K52" s="21"/>
      <c r="L52" s="21"/>
      <c r="M52" s="21"/>
      <c r="N52" s="21"/>
      <c r="O52" s="21"/>
      <c r="P52" s="21"/>
      <c r="Q52" s="21"/>
      <c r="R52" s="21"/>
    </row>
    <row r="53" spans="1:18" ht="15.75">
      <c r="A53" s="10"/>
      <c r="B53" s="10"/>
      <c r="G53" s="32"/>
      <c r="J53" s="21"/>
      <c r="K53" s="21"/>
      <c r="L53" s="21"/>
      <c r="M53" s="21"/>
      <c r="N53" s="21"/>
      <c r="O53" s="21"/>
      <c r="P53" s="21"/>
      <c r="Q53" s="21"/>
      <c r="R53" s="21"/>
    </row>
    <row r="54" spans="1:18" ht="15.75">
      <c r="A54" s="10"/>
      <c r="B54" s="10"/>
      <c r="G54" s="32"/>
      <c r="J54" s="21"/>
      <c r="K54" s="21"/>
      <c r="L54" s="21"/>
      <c r="M54" s="21"/>
      <c r="N54" s="21"/>
      <c r="O54" s="21"/>
      <c r="P54" s="21"/>
      <c r="Q54" s="21"/>
      <c r="R54" s="21"/>
    </row>
    <row r="55" spans="1:18" ht="15.75">
      <c r="A55" s="10"/>
      <c r="B55" s="10"/>
      <c r="J55" s="21"/>
      <c r="K55" s="21"/>
      <c r="L55" s="21"/>
      <c r="M55" s="21"/>
      <c r="N55" s="21"/>
      <c r="O55" s="21"/>
      <c r="P55" s="21"/>
      <c r="Q55" s="21"/>
      <c r="R55" s="21"/>
    </row>
    <row r="56" spans="1:18" ht="15.75">
      <c r="A56" s="16"/>
      <c r="B56" s="16"/>
      <c r="J56" s="21"/>
      <c r="K56" s="21"/>
      <c r="L56" s="21"/>
      <c r="M56" s="21"/>
      <c r="N56" s="21"/>
      <c r="O56" s="21"/>
      <c r="P56" s="21"/>
      <c r="Q56" s="21"/>
      <c r="R56" s="21"/>
    </row>
    <row r="57" spans="1:18" ht="15.75">
      <c r="A57" s="16"/>
      <c r="B57" s="16"/>
      <c r="J57" s="21"/>
      <c r="K57" s="21"/>
      <c r="L57" s="21"/>
      <c r="M57" s="21"/>
      <c r="N57" s="21"/>
      <c r="O57" s="21"/>
      <c r="P57" s="21"/>
      <c r="Q57" s="21"/>
      <c r="R57" s="21"/>
    </row>
    <row r="58" spans="1:18" ht="16.5" customHeight="1">
      <c r="A58" s="10"/>
      <c r="B58" s="10"/>
      <c r="J58" s="21"/>
      <c r="K58" s="21"/>
      <c r="L58" s="21"/>
      <c r="M58" s="21"/>
      <c r="N58" s="21"/>
      <c r="O58" s="21"/>
      <c r="P58" s="21"/>
      <c r="Q58" s="21"/>
      <c r="R58" s="21"/>
    </row>
    <row r="59" spans="1:18" ht="15.75">
      <c r="A59" s="10"/>
      <c r="B59" s="10"/>
      <c r="D59" s="32"/>
      <c r="J59" s="21"/>
      <c r="K59" s="21"/>
      <c r="L59" s="21"/>
      <c r="M59" s="21"/>
      <c r="N59" s="21"/>
      <c r="O59" s="21"/>
      <c r="P59" s="21"/>
      <c r="Q59" s="21"/>
      <c r="R59" s="21"/>
    </row>
    <row r="60" spans="1:18" ht="15.75">
      <c r="A60" s="10"/>
      <c r="B60" s="10"/>
      <c r="J60" s="21"/>
      <c r="K60" s="21"/>
      <c r="L60" s="21"/>
      <c r="M60" s="21"/>
      <c r="N60" s="21"/>
      <c r="O60" s="21"/>
      <c r="P60" s="21"/>
      <c r="Q60" s="21"/>
      <c r="R60" s="21"/>
    </row>
    <row r="61" spans="1:18" ht="15.75">
      <c r="A61" s="10"/>
      <c r="B61" s="10"/>
      <c r="J61" s="21"/>
      <c r="K61" s="21"/>
      <c r="L61" s="21"/>
      <c r="M61" s="21"/>
      <c r="N61" s="21"/>
      <c r="O61" s="21"/>
      <c r="P61" s="21"/>
      <c r="Q61" s="21"/>
      <c r="R61" s="21"/>
    </row>
    <row r="62" spans="1:18" ht="15.75">
      <c r="A62" s="10"/>
      <c r="B62" s="10"/>
      <c r="J62" s="21"/>
      <c r="K62" s="21"/>
      <c r="L62" s="21"/>
      <c r="M62" s="21"/>
      <c r="N62" s="21"/>
      <c r="O62" s="21"/>
      <c r="P62" s="21"/>
      <c r="Q62" s="21"/>
      <c r="R62" s="21"/>
    </row>
    <row r="63" spans="1:18" ht="15.75">
      <c r="A63" s="10"/>
      <c r="B63" s="10"/>
      <c r="J63" s="21"/>
      <c r="K63" s="21"/>
      <c r="L63" s="21"/>
      <c r="M63" s="21"/>
      <c r="N63" s="21"/>
      <c r="O63" s="21"/>
      <c r="P63" s="21"/>
      <c r="Q63" s="21"/>
      <c r="R63" s="21"/>
    </row>
    <row r="64" spans="1:18" ht="15.75">
      <c r="A64" s="17"/>
      <c r="B64" s="17"/>
      <c r="J64" s="21"/>
      <c r="K64" s="21"/>
      <c r="L64" s="21"/>
      <c r="M64" s="21"/>
      <c r="N64" s="21"/>
      <c r="O64" s="21"/>
      <c r="P64" s="21"/>
      <c r="Q64" s="21"/>
      <c r="R64" s="21"/>
    </row>
    <row r="65" spans="1:18" s="13" customFormat="1" ht="16.5" customHeight="1">
      <c r="A65" s="156"/>
      <c r="B65" s="156"/>
      <c r="J65" s="57"/>
      <c r="K65" s="57"/>
      <c r="L65" s="57"/>
      <c r="M65" s="57"/>
      <c r="N65" s="57"/>
      <c r="O65" s="57"/>
      <c r="P65" s="57"/>
      <c r="Q65" s="57"/>
      <c r="R65" s="57"/>
    </row>
    <row r="66" spans="1:18" ht="15.75">
      <c r="A66" s="16"/>
      <c r="B66" s="16"/>
      <c r="J66" s="21"/>
      <c r="K66" s="21"/>
      <c r="L66" s="21"/>
      <c r="M66" s="21"/>
      <c r="N66" s="21"/>
      <c r="O66" s="21"/>
      <c r="P66" s="21"/>
      <c r="Q66" s="21"/>
      <c r="R66" s="21"/>
    </row>
    <row r="67" spans="1:18" ht="15.75">
      <c r="A67" s="16"/>
      <c r="B67" s="16"/>
      <c r="J67" s="21"/>
      <c r="K67" s="21"/>
      <c r="L67" s="21"/>
      <c r="M67" s="21"/>
      <c r="N67" s="21"/>
      <c r="O67" s="21"/>
      <c r="P67" s="21"/>
      <c r="Q67" s="21"/>
      <c r="R67" s="21"/>
    </row>
    <row r="68" spans="1:18" ht="15.75">
      <c r="A68" s="16"/>
      <c r="B68" s="16"/>
      <c r="J68" s="21"/>
      <c r="K68" s="21"/>
      <c r="L68" s="21"/>
      <c r="M68" s="21"/>
      <c r="N68" s="21"/>
      <c r="O68" s="21"/>
      <c r="P68" s="21"/>
      <c r="Q68" s="21"/>
      <c r="R68" s="21"/>
    </row>
    <row r="69" spans="1:18" ht="15.75">
      <c r="A69" s="16"/>
      <c r="B69" s="16"/>
      <c r="J69" s="21"/>
      <c r="K69" s="21"/>
      <c r="L69" s="21"/>
      <c r="M69" s="21"/>
      <c r="N69" s="21"/>
      <c r="O69" s="21"/>
      <c r="P69" s="21"/>
      <c r="Q69" s="21"/>
      <c r="R69" s="21"/>
    </row>
    <row r="70" spans="1:18" ht="18" customHeight="1">
      <c r="A70" s="16"/>
      <c r="B70" s="16"/>
      <c r="J70" s="21"/>
      <c r="K70" s="21"/>
      <c r="L70" s="21"/>
      <c r="M70" s="21"/>
      <c r="N70" s="21"/>
      <c r="O70" s="21"/>
      <c r="P70" s="21"/>
      <c r="Q70" s="21"/>
      <c r="R70" s="21"/>
    </row>
    <row r="71" spans="1:2" ht="15.75">
      <c r="A71" s="16"/>
      <c r="B71" s="16"/>
    </row>
    <row r="72" spans="1:2" ht="15.75">
      <c r="A72" s="16"/>
      <c r="B72" s="16"/>
    </row>
    <row r="73" spans="1:2" ht="15.75">
      <c r="A73" s="16"/>
      <c r="B73" s="16"/>
    </row>
    <row r="74" spans="1:2" ht="15.75">
      <c r="A74" s="16"/>
      <c r="B74" s="16"/>
    </row>
    <row r="75" spans="1:2" ht="15.75">
      <c r="A75" s="16"/>
      <c r="B75" s="16"/>
    </row>
    <row r="76" spans="1:2" ht="15.75">
      <c r="A76" s="10"/>
      <c r="B76" s="10"/>
    </row>
    <row r="77" spans="1:2" ht="15.75">
      <c r="A77" s="10"/>
      <c r="B77" s="10"/>
    </row>
    <row r="78" spans="1:2" ht="15.75">
      <c r="A78" s="10"/>
      <c r="B78" s="10"/>
    </row>
    <row r="79" spans="1:2" ht="15.75">
      <c r="A79" s="10"/>
      <c r="B79" s="10"/>
    </row>
    <row r="80" spans="1:2" ht="15.75">
      <c r="A80" s="10"/>
      <c r="B80" s="10"/>
    </row>
    <row r="81" spans="1:2" ht="15.75">
      <c r="A81" s="10"/>
      <c r="B81" s="10"/>
    </row>
    <row r="82" spans="1:2" ht="15.75">
      <c r="A82" s="10"/>
      <c r="B82" s="10"/>
    </row>
    <row r="83" spans="1:2" ht="15.75">
      <c r="A83" s="10"/>
      <c r="B83" s="10"/>
    </row>
    <row r="84" spans="1:2" ht="15.75">
      <c r="A84" s="10"/>
      <c r="B84" s="10"/>
    </row>
    <row r="85" spans="1:2" ht="15.75">
      <c r="A85" s="10"/>
      <c r="B85" s="10"/>
    </row>
    <row r="86" spans="1:2" ht="15.75">
      <c r="A86" s="10"/>
      <c r="B86" s="10"/>
    </row>
    <row r="87" spans="1:2" ht="15.75">
      <c r="A87" s="10"/>
      <c r="B87" s="10"/>
    </row>
    <row r="88" spans="1:2" ht="15.75">
      <c r="A88" s="10"/>
      <c r="B88" s="10"/>
    </row>
    <row r="89" spans="1:2" ht="15.75">
      <c r="A89" s="10"/>
      <c r="B89" s="10"/>
    </row>
    <row r="90" spans="1:2" ht="15.75">
      <c r="A90" s="10"/>
      <c r="B90" s="10"/>
    </row>
    <row r="91" spans="1:2" ht="15.75">
      <c r="A91" s="10"/>
      <c r="B91" s="10"/>
    </row>
    <row r="92" spans="1:2" ht="15.75">
      <c r="A92" s="10"/>
      <c r="B92" s="10"/>
    </row>
    <row r="93" spans="1:2" ht="15.75">
      <c r="A93" s="10"/>
      <c r="B93" s="10"/>
    </row>
    <row r="94" spans="1:2" ht="15.75">
      <c r="A94" s="10"/>
      <c r="B94" s="10"/>
    </row>
    <row r="95" spans="1:2" ht="15.75">
      <c r="A95" s="10"/>
      <c r="B95" s="10"/>
    </row>
    <row r="96" spans="1:2" ht="15.75">
      <c r="A96" s="10"/>
      <c r="B96" s="10"/>
    </row>
    <row r="97" spans="1:2" ht="15.75">
      <c r="A97" s="10"/>
      <c r="B97" s="10"/>
    </row>
    <row r="98" spans="1:2" ht="15.75">
      <c r="A98" s="10"/>
      <c r="B98" s="10"/>
    </row>
    <row r="99" spans="1:2" ht="15.75">
      <c r="A99" s="10"/>
      <c r="B99" s="10"/>
    </row>
    <row r="100" spans="1:2" ht="15.75">
      <c r="A100" s="10"/>
      <c r="B100" s="10"/>
    </row>
    <row r="101" spans="1:2" ht="15.75">
      <c r="A101" s="10"/>
      <c r="B101" s="10"/>
    </row>
    <row r="102" spans="1:2" ht="15.75">
      <c r="A102" s="10"/>
      <c r="B102" s="10"/>
    </row>
    <row r="103" spans="1:2" ht="15.75">
      <c r="A103" s="10"/>
      <c r="B103" s="10"/>
    </row>
    <row r="104" spans="1:2" ht="15.75">
      <c r="A104" s="10"/>
      <c r="B104" s="10"/>
    </row>
    <row r="105" spans="1:2" ht="15.75">
      <c r="A105" s="10"/>
      <c r="B105" s="10"/>
    </row>
    <row r="106" spans="1:2" ht="15.75">
      <c r="A106" s="10"/>
      <c r="B106" s="10"/>
    </row>
    <row r="107" spans="1:2" ht="15.75">
      <c r="A107" s="10"/>
      <c r="B107" s="10"/>
    </row>
    <row r="108" spans="1:2" ht="15.75">
      <c r="A108" s="10"/>
      <c r="B108" s="10"/>
    </row>
    <row r="109" spans="1:2" ht="15.75">
      <c r="A109" s="10"/>
      <c r="B109" s="10"/>
    </row>
    <row r="110" spans="1:2" ht="15.75">
      <c r="A110" s="19"/>
      <c r="B110" s="19"/>
    </row>
    <row r="111" spans="1:2" ht="15.75">
      <c r="A111" s="19"/>
      <c r="B111" s="19"/>
    </row>
    <row r="112" spans="1:2" ht="15.75">
      <c r="A112" s="12"/>
      <c r="B112" s="12"/>
    </row>
  </sheetData>
  <sheetProtection/>
  <mergeCells count="18">
    <mergeCell ref="N3:N4"/>
    <mergeCell ref="O3:O4"/>
    <mergeCell ref="P3:P4"/>
    <mergeCell ref="Q3:Q4"/>
    <mergeCell ref="A65:B65"/>
    <mergeCell ref="J3:J4"/>
    <mergeCell ref="K3:K4"/>
    <mergeCell ref="L3:L4"/>
    <mergeCell ref="M3:M4"/>
    <mergeCell ref="H3:I3"/>
    <mergeCell ref="A1:B1"/>
    <mergeCell ref="A3:A4"/>
    <mergeCell ref="B3:B4"/>
    <mergeCell ref="C3:C4"/>
    <mergeCell ref="D3:D4"/>
    <mergeCell ref="G3:G4"/>
    <mergeCell ref="E3:E4"/>
    <mergeCell ref="F3:F4"/>
  </mergeCells>
  <printOptions horizontalCentered="1"/>
  <pageMargins left="0" right="0" top="0.5905511811023623" bottom="0" header="0" footer="0"/>
  <pageSetup horizontalDpi="600" verticalDpi="600" orientation="portrait" paperSize="9" scale="5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118"/>
  <sheetViews>
    <sheetView tabSelected="1" view="pageBreakPreview" zoomScale="70" zoomScaleNormal="71" zoomScaleSheetLayoutView="70" zoomScalePageLayoutView="0" workbookViewId="0" topLeftCell="A1">
      <pane xSplit="2" ySplit="7" topLeftCell="I2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5" sqref="C5:C6"/>
    </sheetView>
  </sheetViews>
  <sheetFormatPr defaultColWidth="9.140625" defaultRowHeight="12.75"/>
  <cols>
    <col min="1" max="1" width="9.00390625" style="92" customWidth="1"/>
    <col min="2" max="3" width="30.8515625" style="92" customWidth="1"/>
    <col min="4" max="4" width="24.00390625" style="92" customWidth="1"/>
    <col min="5" max="5" width="17.28125" style="92" customWidth="1"/>
    <col min="6" max="6" width="26.421875" style="92" customWidth="1"/>
    <col min="7" max="7" width="20.00390625" style="92" customWidth="1"/>
    <col min="8" max="9" width="24.421875" style="93" customWidth="1"/>
    <col min="10" max="10" width="17.140625" style="93" customWidth="1"/>
    <col min="11" max="11" width="22.8515625" style="93" customWidth="1"/>
    <col min="12" max="13" width="20.421875" style="59" customWidth="1"/>
    <col min="14" max="14" width="18.7109375" style="59" customWidth="1"/>
    <col min="15" max="15" width="13.421875" style="59" hidden="1" customWidth="1"/>
    <col min="16" max="16" width="9.140625" style="59" hidden="1" customWidth="1"/>
    <col min="17" max="16384" width="9.140625" style="59" customWidth="1"/>
  </cols>
  <sheetData>
    <row r="1" spans="1:11" ht="15.75">
      <c r="A1" s="152"/>
      <c r="B1" s="152"/>
      <c r="C1" s="152"/>
      <c r="D1" s="152"/>
      <c r="E1" s="152"/>
      <c r="F1" s="152"/>
      <c r="G1" s="152"/>
      <c r="H1" s="153" t="s">
        <v>88</v>
      </c>
      <c r="I1" s="152"/>
      <c r="J1" s="152"/>
      <c r="K1" s="152"/>
    </row>
    <row r="2" spans="1:11" ht="18.75">
      <c r="A2" s="60"/>
      <c r="B2" s="60"/>
      <c r="C2" s="60"/>
      <c r="D2" s="60"/>
      <c r="E2" s="60"/>
      <c r="F2" s="60"/>
      <c r="G2" s="101"/>
      <c r="H2" s="61"/>
      <c r="I2" s="61"/>
      <c r="J2" s="61"/>
      <c r="K2" s="61"/>
    </row>
    <row r="3" spans="1:21" ht="27.75" customHeight="1">
      <c r="A3" s="205" t="s">
        <v>66</v>
      </c>
      <c r="B3" s="170" t="s">
        <v>51</v>
      </c>
      <c r="C3" s="190" t="s">
        <v>67</v>
      </c>
      <c r="D3" s="191"/>
      <c r="E3" s="191"/>
      <c r="F3" s="202"/>
      <c r="G3" s="179" t="s">
        <v>67</v>
      </c>
      <c r="H3" s="179"/>
      <c r="I3" s="179"/>
      <c r="J3" s="179"/>
      <c r="K3" s="190" t="s">
        <v>67</v>
      </c>
      <c r="L3" s="191"/>
      <c r="M3" s="191"/>
      <c r="N3" s="191"/>
      <c r="O3" s="62"/>
      <c r="P3" s="62"/>
      <c r="Q3" s="63"/>
      <c r="R3" s="63"/>
      <c r="S3" s="63"/>
      <c r="T3" s="63"/>
      <c r="U3" s="63"/>
    </row>
    <row r="4" spans="1:21" ht="36" customHeight="1">
      <c r="A4" s="206"/>
      <c r="B4" s="171"/>
      <c r="C4" s="190" t="s">
        <v>0</v>
      </c>
      <c r="D4" s="191"/>
      <c r="E4" s="191"/>
      <c r="F4" s="202"/>
      <c r="G4" s="190" t="s">
        <v>0</v>
      </c>
      <c r="H4" s="191"/>
      <c r="I4" s="191"/>
      <c r="J4" s="191"/>
      <c r="K4" s="190" t="s">
        <v>0</v>
      </c>
      <c r="L4" s="191"/>
      <c r="M4" s="191"/>
      <c r="N4" s="191"/>
      <c r="O4" s="62"/>
      <c r="P4" s="62"/>
      <c r="Q4" s="63"/>
      <c r="R4" s="63"/>
      <c r="S4" s="63"/>
      <c r="T4" s="63"/>
      <c r="U4" s="63"/>
    </row>
    <row r="5" spans="1:21" ht="27.75" customHeight="1">
      <c r="A5" s="206"/>
      <c r="B5" s="171"/>
      <c r="C5" s="179" t="s">
        <v>68</v>
      </c>
      <c r="D5" s="103" t="s">
        <v>69</v>
      </c>
      <c r="E5" s="203" t="s">
        <v>70</v>
      </c>
      <c r="F5" s="204" t="s">
        <v>71</v>
      </c>
      <c r="G5" s="179" t="s">
        <v>85</v>
      </c>
      <c r="H5" s="190" t="s">
        <v>69</v>
      </c>
      <c r="I5" s="191"/>
      <c r="J5" s="179" t="s">
        <v>70</v>
      </c>
      <c r="K5" s="189" t="s">
        <v>71</v>
      </c>
      <c r="L5" s="179" t="s">
        <v>86</v>
      </c>
      <c r="M5" s="179" t="s">
        <v>87</v>
      </c>
      <c r="N5" s="179" t="s">
        <v>72</v>
      </c>
      <c r="O5" s="63"/>
      <c r="P5" s="63"/>
      <c r="Q5" s="63"/>
      <c r="R5" s="63"/>
      <c r="S5" s="63"/>
      <c r="T5" s="63"/>
      <c r="U5" s="63"/>
    </row>
    <row r="6" spans="1:14" ht="177" customHeight="1">
      <c r="A6" s="207"/>
      <c r="B6" s="172"/>
      <c r="C6" s="179"/>
      <c r="D6" s="104" t="s">
        <v>55</v>
      </c>
      <c r="E6" s="179"/>
      <c r="F6" s="189"/>
      <c r="G6" s="179"/>
      <c r="H6" s="104" t="s">
        <v>56</v>
      </c>
      <c r="I6" s="104" t="s">
        <v>57</v>
      </c>
      <c r="J6" s="179"/>
      <c r="K6" s="189"/>
      <c r="L6" s="179"/>
      <c r="M6" s="179"/>
      <c r="N6" s="179"/>
    </row>
    <row r="7" spans="1:14" s="65" customFormat="1" ht="17.25" customHeight="1">
      <c r="A7" s="64">
        <v>1</v>
      </c>
      <c r="B7" s="64">
        <v>2</v>
      </c>
      <c r="C7" s="64">
        <v>3</v>
      </c>
      <c r="D7" s="64">
        <v>4</v>
      </c>
      <c r="E7" s="64">
        <v>5</v>
      </c>
      <c r="F7" s="64">
        <v>6</v>
      </c>
      <c r="G7" s="64">
        <v>7</v>
      </c>
      <c r="H7" s="64">
        <v>8</v>
      </c>
      <c r="I7" s="64">
        <v>9</v>
      </c>
      <c r="J7" s="64">
        <v>11</v>
      </c>
      <c r="K7" s="64">
        <v>12</v>
      </c>
      <c r="L7" s="64">
        <v>13</v>
      </c>
      <c r="M7" s="64">
        <v>14</v>
      </c>
      <c r="N7" s="64">
        <v>15</v>
      </c>
    </row>
    <row r="8" spans="1:16" s="69" customFormat="1" ht="15.75">
      <c r="A8" s="66">
        <v>1</v>
      </c>
      <c r="B8" s="67" t="s">
        <v>1</v>
      </c>
      <c r="C8" s="133">
        <v>9579</v>
      </c>
      <c r="D8" s="29"/>
      <c r="E8" s="134">
        <v>7708</v>
      </c>
      <c r="F8" s="135">
        <f aca="true" t="shared" si="0" ref="F8:F52">ROUND(C8/E8,3)</f>
        <v>1.243</v>
      </c>
      <c r="G8" s="136">
        <f aca="true" t="shared" si="1" ref="G8:G52">ROUND((D8)*E8*F8/1000,1)</f>
        <v>0</v>
      </c>
      <c r="H8" s="123">
        <v>103</v>
      </c>
      <c r="I8" s="105"/>
      <c r="J8" s="134">
        <v>7708</v>
      </c>
      <c r="K8" s="135">
        <f>F8</f>
        <v>1.243</v>
      </c>
      <c r="L8" s="68">
        <f>ROUND((H8)*J8/1000*K8,1)-0.2</f>
        <v>986.5999999999999</v>
      </c>
      <c r="M8" s="68">
        <f aca="true" t="shared" si="2" ref="M8:M52">ROUND((I8)*J8*K8/1000,1)</f>
        <v>0</v>
      </c>
      <c r="N8" s="68">
        <f aca="true" t="shared" si="3" ref="N8:N52">G8+L8+M8</f>
        <v>986.5999999999999</v>
      </c>
      <c r="O8" s="122">
        <v>986.6</v>
      </c>
      <c r="P8" s="69">
        <f>O8-N8</f>
        <v>0</v>
      </c>
    </row>
    <row r="9" spans="1:16" s="69" customFormat="1" ht="15.75">
      <c r="A9" s="70">
        <v>2</v>
      </c>
      <c r="B9" s="67" t="s">
        <v>2</v>
      </c>
      <c r="C9" s="137">
        <v>9257</v>
      </c>
      <c r="D9" s="27">
        <v>25</v>
      </c>
      <c r="E9" s="134">
        <v>7708</v>
      </c>
      <c r="F9" s="135">
        <f t="shared" si="0"/>
        <v>1.201</v>
      </c>
      <c r="G9" s="136">
        <f t="shared" si="1"/>
        <v>231.4</v>
      </c>
      <c r="H9" s="124">
        <v>104</v>
      </c>
      <c r="I9" s="124"/>
      <c r="J9" s="134">
        <v>7708</v>
      </c>
      <c r="K9" s="135">
        <f>F9</f>
        <v>1.201</v>
      </c>
      <c r="L9" s="68">
        <f>ROUND((H9)*J9/1000*K9,1)-0.1</f>
        <v>962.6999999999999</v>
      </c>
      <c r="M9" s="68">
        <f t="shared" si="2"/>
        <v>0</v>
      </c>
      <c r="N9" s="68">
        <f t="shared" si="3"/>
        <v>1194.1</v>
      </c>
      <c r="O9" s="122">
        <v>1194.1</v>
      </c>
      <c r="P9" s="69">
        <f aca="true" t="shared" si="4" ref="P9:P52">O9-N9</f>
        <v>0</v>
      </c>
    </row>
    <row r="10" spans="1:16" s="69" customFormat="1" ht="15.75">
      <c r="A10" s="66">
        <v>3</v>
      </c>
      <c r="B10" s="67" t="s">
        <v>3</v>
      </c>
      <c r="C10" s="137">
        <v>10523</v>
      </c>
      <c r="D10" s="27">
        <v>20</v>
      </c>
      <c r="E10" s="134">
        <v>7708</v>
      </c>
      <c r="F10" s="135">
        <f t="shared" si="0"/>
        <v>1.365</v>
      </c>
      <c r="G10" s="136">
        <f t="shared" si="1"/>
        <v>210.4</v>
      </c>
      <c r="H10" s="124">
        <v>122</v>
      </c>
      <c r="I10" s="96"/>
      <c r="J10" s="134">
        <v>7708</v>
      </c>
      <c r="K10" s="135">
        <f>F10</f>
        <v>1.365</v>
      </c>
      <c r="L10" s="68">
        <f>ROUND((H10)*J10/1000*K10,1)+0.3</f>
        <v>1283.8999999999999</v>
      </c>
      <c r="M10" s="68">
        <f t="shared" si="2"/>
        <v>0</v>
      </c>
      <c r="N10" s="68">
        <f t="shared" si="3"/>
        <v>1494.3</v>
      </c>
      <c r="O10" s="122">
        <v>1494.3</v>
      </c>
      <c r="P10" s="69">
        <f t="shared" si="4"/>
        <v>0</v>
      </c>
    </row>
    <row r="11" spans="1:16" s="69" customFormat="1" ht="15.75">
      <c r="A11" s="70">
        <v>4</v>
      </c>
      <c r="B11" s="67" t="s">
        <v>4</v>
      </c>
      <c r="C11" s="137">
        <v>8237</v>
      </c>
      <c r="D11" s="27">
        <v>45</v>
      </c>
      <c r="E11" s="134">
        <v>7708</v>
      </c>
      <c r="F11" s="135">
        <f t="shared" si="0"/>
        <v>1.069</v>
      </c>
      <c r="G11" s="136">
        <f t="shared" si="1"/>
        <v>370.8</v>
      </c>
      <c r="H11" s="124">
        <v>155</v>
      </c>
      <c r="I11" s="96">
        <v>43</v>
      </c>
      <c r="J11" s="134">
        <v>7708</v>
      </c>
      <c r="K11" s="135">
        <f>F11</f>
        <v>1.069</v>
      </c>
      <c r="L11" s="68">
        <f>ROUND((H11)*J11/1000*K11,1)-0.8</f>
        <v>1276.4</v>
      </c>
      <c r="M11" s="68">
        <f t="shared" si="2"/>
        <v>354.3</v>
      </c>
      <c r="N11" s="68">
        <f t="shared" si="3"/>
        <v>2001.5</v>
      </c>
      <c r="O11" s="122">
        <v>2001.5</v>
      </c>
      <c r="P11" s="69">
        <f t="shared" si="4"/>
        <v>0</v>
      </c>
    </row>
    <row r="12" spans="1:16" s="69" customFormat="1" ht="15.75">
      <c r="A12" s="66">
        <v>5</v>
      </c>
      <c r="B12" s="67" t="s">
        <v>5</v>
      </c>
      <c r="C12" s="137">
        <v>7923</v>
      </c>
      <c r="D12" s="27">
        <v>75</v>
      </c>
      <c r="E12" s="134">
        <v>7708</v>
      </c>
      <c r="F12" s="135">
        <f t="shared" si="0"/>
        <v>1.028</v>
      </c>
      <c r="G12" s="136">
        <f t="shared" si="1"/>
        <v>594.3</v>
      </c>
      <c r="H12" s="124">
        <v>173</v>
      </c>
      <c r="I12" s="96">
        <v>28</v>
      </c>
      <c r="J12" s="134">
        <v>7708</v>
      </c>
      <c r="K12" s="135">
        <v>1.033</v>
      </c>
      <c r="L12" s="68">
        <f>ROUND((H12)*J12/1000*K12,1)</f>
        <v>1377.5</v>
      </c>
      <c r="M12" s="68">
        <f t="shared" si="2"/>
        <v>222.9</v>
      </c>
      <c r="N12" s="68">
        <f t="shared" si="3"/>
        <v>2194.7</v>
      </c>
      <c r="O12" s="122">
        <v>2194.7</v>
      </c>
      <c r="P12" s="69">
        <f t="shared" si="4"/>
        <v>0</v>
      </c>
    </row>
    <row r="13" spans="1:16" s="69" customFormat="1" ht="15.75">
      <c r="A13" s="70">
        <v>6</v>
      </c>
      <c r="B13" s="67" t="s">
        <v>6</v>
      </c>
      <c r="C13" s="137">
        <v>8711</v>
      </c>
      <c r="D13" s="27"/>
      <c r="E13" s="134">
        <v>7708</v>
      </c>
      <c r="F13" s="135">
        <f t="shared" si="0"/>
        <v>1.13</v>
      </c>
      <c r="G13" s="136">
        <f t="shared" si="1"/>
        <v>0</v>
      </c>
      <c r="H13" s="124">
        <v>160</v>
      </c>
      <c r="I13" s="124"/>
      <c r="J13" s="134">
        <v>7708</v>
      </c>
      <c r="K13" s="135">
        <f>F13</f>
        <v>1.13</v>
      </c>
      <c r="L13" s="68">
        <f>ROUND((H13)*J13/1000*K13,1)+0.1</f>
        <v>1393.6999999999998</v>
      </c>
      <c r="M13" s="68">
        <f t="shared" si="2"/>
        <v>0</v>
      </c>
      <c r="N13" s="68">
        <f t="shared" si="3"/>
        <v>1393.6999999999998</v>
      </c>
      <c r="O13" s="122">
        <v>1393.6999999999998</v>
      </c>
      <c r="P13" s="69">
        <f t="shared" si="4"/>
        <v>0</v>
      </c>
    </row>
    <row r="14" spans="1:16" s="69" customFormat="1" ht="15.75">
      <c r="A14" s="66">
        <v>7</v>
      </c>
      <c r="B14" s="67" t="s">
        <v>7</v>
      </c>
      <c r="C14" s="138">
        <v>8724</v>
      </c>
      <c r="D14" s="139">
        <v>25</v>
      </c>
      <c r="E14" s="134">
        <v>7708</v>
      </c>
      <c r="F14" s="135">
        <f t="shared" si="0"/>
        <v>1.132</v>
      </c>
      <c r="G14" s="136">
        <f t="shared" si="1"/>
        <v>218.1</v>
      </c>
      <c r="H14" s="124">
        <v>190</v>
      </c>
      <c r="I14" s="96">
        <v>45</v>
      </c>
      <c r="J14" s="134">
        <v>7708</v>
      </c>
      <c r="K14" s="135">
        <f>F14</f>
        <v>1.132</v>
      </c>
      <c r="L14" s="68">
        <f>ROUND((H14)*J14/1000*K14,1)-0.3</f>
        <v>1657.5</v>
      </c>
      <c r="M14" s="68">
        <f t="shared" si="2"/>
        <v>392.6</v>
      </c>
      <c r="N14" s="68">
        <f t="shared" si="3"/>
        <v>2268.2</v>
      </c>
      <c r="O14" s="122">
        <v>2268.2999999999997</v>
      </c>
      <c r="P14" s="69">
        <f t="shared" si="4"/>
        <v>0.09999999999990905</v>
      </c>
    </row>
    <row r="15" spans="1:16" s="69" customFormat="1" ht="15.75">
      <c r="A15" s="70">
        <v>8</v>
      </c>
      <c r="B15" s="67" t="s">
        <v>8</v>
      </c>
      <c r="C15" s="137">
        <v>7631</v>
      </c>
      <c r="D15" s="27">
        <v>44</v>
      </c>
      <c r="E15" s="134">
        <v>7708</v>
      </c>
      <c r="F15" s="135">
        <f t="shared" si="0"/>
        <v>0.99</v>
      </c>
      <c r="G15" s="136">
        <f t="shared" si="1"/>
        <v>335.8</v>
      </c>
      <c r="H15" s="124">
        <v>181</v>
      </c>
      <c r="I15" s="96">
        <v>45</v>
      </c>
      <c r="J15" s="134">
        <v>7708</v>
      </c>
      <c r="K15" s="135">
        <f>F15</f>
        <v>0.99</v>
      </c>
      <c r="L15" s="68">
        <f>ROUND((H15)*J15/1000*K15,1)-0.1</f>
        <v>1381.1000000000001</v>
      </c>
      <c r="M15" s="68">
        <f t="shared" si="2"/>
        <v>343.4</v>
      </c>
      <c r="N15" s="68">
        <f t="shared" si="3"/>
        <v>2060.3</v>
      </c>
      <c r="O15" s="122">
        <v>2060.3</v>
      </c>
      <c r="P15" s="69">
        <f t="shared" si="4"/>
        <v>0</v>
      </c>
    </row>
    <row r="16" spans="1:16" s="69" customFormat="1" ht="15.75">
      <c r="A16" s="66">
        <v>9</v>
      </c>
      <c r="B16" s="67" t="s">
        <v>9</v>
      </c>
      <c r="C16" s="137">
        <v>13296</v>
      </c>
      <c r="D16" s="27">
        <v>41</v>
      </c>
      <c r="E16" s="134">
        <v>7708</v>
      </c>
      <c r="F16" s="135">
        <f t="shared" si="0"/>
        <v>1.725</v>
      </c>
      <c r="G16" s="136">
        <f t="shared" si="1"/>
        <v>545.1</v>
      </c>
      <c r="H16" s="124">
        <v>145</v>
      </c>
      <c r="I16" s="96">
        <v>37</v>
      </c>
      <c r="J16" s="134">
        <v>7708</v>
      </c>
      <c r="K16" s="135">
        <v>1.734</v>
      </c>
      <c r="L16" s="68">
        <f>ROUND((H16)*J16/1000*K16,1)+0.6</f>
        <v>1938.6</v>
      </c>
      <c r="M16" s="68">
        <f t="shared" si="2"/>
        <v>494.5</v>
      </c>
      <c r="N16" s="68">
        <f t="shared" si="3"/>
        <v>2978.2</v>
      </c>
      <c r="O16" s="122">
        <v>2978.2000000000003</v>
      </c>
      <c r="P16" s="69">
        <f t="shared" si="4"/>
        <v>0</v>
      </c>
    </row>
    <row r="17" spans="1:16" s="69" customFormat="1" ht="15.75">
      <c r="A17" s="70">
        <v>10</v>
      </c>
      <c r="B17" s="67" t="s">
        <v>10</v>
      </c>
      <c r="C17" s="137">
        <v>10704</v>
      </c>
      <c r="D17" s="27">
        <v>45</v>
      </c>
      <c r="E17" s="134">
        <v>7708</v>
      </c>
      <c r="F17" s="135">
        <f t="shared" si="0"/>
        <v>1.389</v>
      </c>
      <c r="G17" s="136">
        <f t="shared" si="1"/>
        <v>481.8</v>
      </c>
      <c r="H17" s="124">
        <v>159</v>
      </c>
      <c r="I17" s="96">
        <v>30</v>
      </c>
      <c r="J17" s="134">
        <v>7708</v>
      </c>
      <c r="K17" s="135">
        <f>F17</f>
        <v>1.389</v>
      </c>
      <c r="L17" s="68">
        <f>ROUND((H17)*J17/1000*K17,1)-0.5</f>
        <v>1701.8</v>
      </c>
      <c r="M17" s="68">
        <f t="shared" si="2"/>
        <v>321.2</v>
      </c>
      <c r="N17" s="68">
        <f t="shared" si="3"/>
        <v>2504.7999999999997</v>
      </c>
      <c r="O17" s="122">
        <v>2504.8</v>
      </c>
      <c r="P17" s="69">
        <f t="shared" si="4"/>
        <v>0</v>
      </c>
    </row>
    <row r="18" spans="1:16" s="69" customFormat="1" ht="15.75">
      <c r="A18" s="66">
        <v>11</v>
      </c>
      <c r="B18" s="71" t="s">
        <v>11</v>
      </c>
      <c r="C18" s="140">
        <v>19365</v>
      </c>
      <c r="D18" s="141">
        <v>21</v>
      </c>
      <c r="E18" s="134">
        <v>7708</v>
      </c>
      <c r="F18" s="135">
        <f t="shared" si="0"/>
        <v>2.512</v>
      </c>
      <c r="G18" s="136">
        <f t="shared" si="1"/>
        <v>406.6</v>
      </c>
      <c r="H18" s="125">
        <v>51</v>
      </c>
      <c r="I18" s="126">
        <v>16</v>
      </c>
      <c r="J18" s="134">
        <v>7708</v>
      </c>
      <c r="K18" s="135">
        <v>2.549</v>
      </c>
      <c r="L18" s="68">
        <f>ROUND((H18)*J18/1000*K18,1)+0.4</f>
        <v>1002.4</v>
      </c>
      <c r="M18" s="68">
        <f t="shared" si="2"/>
        <v>314.4</v>
      </c>
      <c r="N18" s="68">
        <f t="shared" si="3"/>
        <v>1723.4</v>
      </c>
      <c r="O18" s="122">
        <v>1723.4</v>
      </c>
      <c r="P18" s="69">
        <f t="shared" si="4"/>
        <v>0</v>
      </c>
    </row>
    <row r="19" spans="1:16" s="69" customFormat="1" ht="15.75">
      <c r="A19" s="70">
        <v>12</v>
      </c>
      <c r="B19" s="67" t="s">
        <v>25</v>
      </c>
      <c r="C19" s="137">
        <v>25938</v>
      </c>
      <c r="D19" s="27"/>
      <c r="E19" s="134">
        <v>7708</v>
      </c>
      <c r="F19" s="135">
        <f t="shared" si="0"/>
        <v>3.365</v>
      </c>
      <c r="G19" s="136">
        <f t="shared" si="1"/>
        <v>0</v>
      </c>
      <c r="H19" s="124">
        <v>26</v>
      </c>
      <c r="I19" s="124"/>
      <c r="J19" s="134">
        <v>7708</v>
      </c>
      <c r="K19" s="135">
        <f aca="true" t="shared" si="5" ref="K19:K52">F19</f>
        <v>3.365</v>
      </c>
      <c r="L19" s="68">
        <f>ROUND((H19)*J19/1000*K19,1)</f>
        <v>674.4</v>
      </c>
      <c r="M19" s="68">
        <f t="shared" si="2"/>
        <v>0</v>
      </c>
      <c r="N19" s="68">
        <f t="shared" si="3"/>
        <v>674.4</v>
      </c>
      <c r="O19" s="122">
        <v>674.4</v>
      </c>
      <c r="P19" s="69">
        <f t="shared" si="4"/>
        <v>0</v>
      </c>
    </row>
    <row r="20" spans="1:16" s="69" customFormat="1" ht="15.75">
      <c r="A20" s="66">
        <v>13</v>
      </c>
      <c r="B20" s="67" t="s">
        <v>24</v>
      </c>
      <c r="C20" s="138">
        <v>17192</v>
      </c>
      <c r="D20" s="139"/>
      <c r="E20" s="134">
        <v>7708</v>
      </c>
      <c r="F20" s="135">
        <f t="shared" si="0"/>
        <v>2.23</v>
      </c>
      <c r="G20" s="136">
        <f t="shared" si="1"/>
        <v>0</v>
      </c>
      <c r="H20" s="124">
        <v>25</v>
      </c>
      <c r="I20" s="96"/>
      <c r="J20" s="134">
        <v>7708</v>
      </c>
      <c r="K20" s="135">
        <f t="shared" si="5"/>
        <v>2.23</v>
      </c>
      <c r="L20" s="68">
        <f>ROUND((H20)*J20/1000*K20,1)+0.1</f>
        <v>429.8</v>
      </c>
      <c r="M20" s="68">
        <f t="shared" si="2"/>
        <v>0</v>
      </c>
      <c r="N20" s="68">
        <f t="shared" si="3"/>
        <v>429.8</v>
      </c>
      <c r="O20" s="122">
        <v>429.8</v>
      </c>
      <c r="P20" s="69">
        <f t="shared" si="4"/>
        <v>0</v>
      </c>
    </row>
    <row r="21" spans="1:16" s="69" customFormat="1" ht="15.75">
      <c r="A21" s="70">
        <v>14</v>
      </c>
      <c r="B21" s="67" t="s">
        <v>12</v>
      </c>
      <c r="C21" s="137">
        <v>10959</v>
      </c>
      <c r="D21" s="27"/>
      <c r="E21" s="134">
        <v>7708</v>
      </c>
      <c r="F21" s="135">
        <f t="shared" si="0"/>
        <v>1.422</v>
      </c>
      <c r="G21" s="136">
        <f t="shared" si="1"/>
        <v>0</v>
      </c>
      <c r="H21" s="124">
        <v>86</v>
      </c>
      <c r="I21" s="96"/>
      <c r="J21" s="134">
        <v>7708</v>
      </c>
      <c r="K21" s="135">
        <f t="shared" si="5"/>
        <v>1.422</v>
      </c>
      <c r="L21" s="68">
        <f>ROUND((H21)*J21/1000*K21,1)-0.1</f>
        <v>942.5</v>
      </c>
      <c r="M21" s="68">
        <f t="shared" si="2"/>
        <v>0</v>
      </c>
      <c r="N21" s="68">
        <f t="shared" si="3"/>
        <v>942.5</v>
      </c>
      <c r="O21" s="122">
        <v>942.4999999999999</v>
      </c>
      <c r="P21" s="69">
        <f t="shared" si="4"/>
        <v>0</v>
      </c>
    </row>
    <row r="22" spans="1:16" s="69" customFormat="1" ht="15.75">
      <c r="A22" s="66">
        <v>15</v>
      </c>
      <c r="B22" s="67" t="s">
        <v>13</v>
      </c>
      <c r="C22" s="137">
        <v>17611</v>
      </c>
      <c r="D22" s="27"/>
      <c r="E22" s="134">
        <v>7708</v>
      </c>
      <c r="F22" s="135">
        <f t="shared" si="0"/>
        <v>2.285</v>
      </c>
      <c r="G22" s="136">
        <f t="shared" si="1"/>
        <v>0</v>
      </c>
      <c r="H22" s="124">
        <v>45</v>
      </c>
      <c r="I22" s="96"/>
      <c r="J22" s="134">
        <v>7708</v>
      </c>
      <c r="K22" s="135">
        <f t="shared" si="5"/>
        <v>2.285</v>
      </c>
      <c r="L22" s="68">
        <f>ROUND((H22)*J22/1000*K22,1)-0.1</f>
        <v>792.5</v>
      </c>
      <c r="M22" s="68">
        <f t="shared" si="2"/>
        <v>0</v>
      </c>
      <c r="N22" s="68">
        <f t="shared" si="3"/>
        <v>792.5</v>
      </c>
      <c r="O22" s="122">
        <v>792.5</v>
      </c>
      <c r="P22" s="69">
        <f t="shared" si="4"/>
        <v>0</v>
      </c>
    </row>
    <row r="23" spans="1:16" s="69" customFormat="1" ht="15.75">
      <c r="A23" s="70">
        <v>16</v>
      </c>
      <c r="B23" s="67" t="s">
        <v>14</v>
      </c>
      <c r="C23" s="137">
        <v>15417</v>
      </c>
      <c r="D23" s="27"/>
      <c r="E23" s="134">
        <v>7708</v>
      </c>
      <c r="F23" s="135">
        <f t="shared" si="0"/>
        <v>2</v>
      </c>
      <c r="G23" s="136">
        <f t="shared" si="1"/>
        <v>0</v>
      </c>
      <c r="H23" s="124">
        <v>50</v>
      </c>
      <c r="I23" s="96"/>
      <c r="J23" s="134">
        <v>7708</v>
      </c>
      <c r="K23" s="135">
        <f t="shared" si="5"/>
        <v>2</v>
      </c>
      <c r="L23" s="68">
        <f>ROUND((H23)*J23/1000*K23,1)</f>
        <v>770.8</v>
      </c>
      <c r="M23" s="68">
        <f t="shared" si="2"/>
        <v>0</v>
      </c>
      <c r="N23" s="68">
        <f t="shared" si="3"/>
        <v>770.8</v>
      </c>
      <c r="O23" s="122">
        <v>770.8</v>
      </c>
      <c r="P23" s="69">
        <f t="shared" si="4"/>
        <v>0</v>
      </c>
    </row>
    <row r="24" spans="1:16" s="73" customFormat="1" ht="16.5" customHeight="1">
      <c r="A24" s="72">
        <v>17</v>
      </c>
      <c r="B24" s="71" t="s">
        <v>15</v>
      </c>
      <c r="C24" s="142">
        <v>13556</v>
      </c>
      <c r="D24" s="143"/>
      <c r="E24" s="134">
        <v>7708</v>
      </c>
      <c r="F24" s="135">
        <f t="shared" si="0"/>
        <v>1.759</v>
      </c>
      <c r="G24" s="136">
        <f t="shared" si="1"/>
        <v>0</v>
      </c>
      <c r="H24" s="124">
        <v>64</v>
      </c>
      <c r="I24" s="96"/>
      <c r="J24" s="134">
        <v>7708</v>
      </c>
      <c r="K24" s="135">
        <f t="shared" si="5"/>
        <v>1.759</v>
      </c>
      <c r="L24" s="68">
        <f>ROUND((H24)*J24/1000*K24,1)-0.1</f>
        <v>867.6</v>
      </c>
      <c r="M24" s="68">
        <f t="shared" si="2"/>
        <v>0</v>
      </c>
      <c r="N24" s="68">
        <f t="shared" si="3"/>
        <v>867.6</v>
      </c>
      <c r="O24" s="122">
        <v>867.6</v>
      </c>
      <c r="P24" s="69">
        <f t="shared" si="4"/>
        <v>0</v>
      </c>
    </row>
    <row r="25" spans="1:16" s="69" customFormat="1" ht="19.5" customHeight="1">
      <c r="A25" s="70">
        <v>18</v>
      </c>
      <c r="B25" s="67" t="s">
        <v>26</v>
      </c>
      <c r="C25" s="144">
        <v>33700</v>
      </c>
      <c r="D25" s="28"/>
      <c r="E25" s="134">
        <v>7708</v>
      </c>
      <c r="F25" s="135">
        <f t="shared" si="0"/>
        <v>4.372</v>
      </c>
      <c r="G25" s="136">
        <f t="shared" si="1"/>
        <v>0</v>
      </c>
      <c r="H25" s="124">
        <v>18</v>
      </c>
      <c r="I25" s="124"/>
      <c r="J25" s="134">
        <v>7708</v>
      </c>
      <c r="K25" s="135">
        <f t="shared" si="5"/>
        <v>4.372</v>
      </c>
      <c r="L25" s="68">
        <f>ROUND((H25)*J25/1000*K25,1)</f>
        <v>606.6</v>
      </c>
      <c r="M25" s="68">
        <f t="shared" si="2"/>
        <v>0</v>
      </c>
      <c r="N25" s="68">
        <f t="shared" si="3"/>
        <v>606.6</v>
      </c>
      <c r="O25" s="122">
        <v>606.6</v>
      </c>
      <c r="P25" s="69">
        <f t="shared" si="4"/>
        <v>0</v>
      </c>
    </row>
    <row r="26" spans="1:16" s="69" customFormat="1" ht="19.5" customHeight="1">
      <c r="A26" s="66">
        <v>19</v>
      </c>
      <c r="B26" s="67" t="s">
        <v>27</v>
      </c>
      <c r="C26" s="144">
        <v>79256</v>
      </c>
      <c r="D26" s="28"/>
      <c r="E26" s="134">
        <v>7708</v>
      </c>
      <c r="F26" s="135">
        <f t="shared" si="0"/>
        <v>10.282</v>
      </c>
      <c r="G26" s="136">
        <f t="shared" si="1"/>
        <v>0</v>
      </c>
      <c r="H26" s="124">
        <v>8</v>
      </c>
      <c r="I26" s="96"/>
      <c r="J26" s="134">
        <v>7708</v>
      </c>
      <c r="K26" s="135">
        <f t="shared" si="5"/>
        <v>10.282</v>
      </c>
      <c r="L26" s="68">
        <f>ROUND((H26)*J26/1000*K26,1)</f>
        <v>634</v>
      </c>
      <c r="M26" s="68">
        <f t="shared" si="2"/>
        <v>0</v>
      </c>
      <c r="N26" s="68">
        <f t="shared" si="3"/>
        <v>634</v>
      </c>
      <c r="O26" s="122">
        <v>634</v>
      </c>
      <c r="P26" s="69">
        <f t="shared" si="4"/>
        <v>0</v>
      </c>
    </row>
    <row r="27" spans="1:16" s="69" customFormat="1" ht="18" customHeight="1">
      <c r="A27" s="70">
        <v>20</v>
      </c>
      <c r="B27" s="67" t="s">
        <v>28</v>
      </c>
      <c r="C27" s="144">
        <v>52213</v>
      </c>
      <c r="D27" s="28"/>
      <c r="E27" s="134">
        <v>7708</v>
      </c>
      <c r="F27" s="135">
        <f t="shared" si="0"/>
        <v>6.774</v>
      </c>
      <c r="G27" s="136">
        <f t="shared" si="1"/>
        <v>0</v>
      </c>
      <c r="H27" s="124">
        <v>12</v>
      </c>
      <c r="I27" s="96"/>
      <c r="J27" s="134">
        <v>7708</v>
      </c>
      <c r="K27" s="135">
        <f t="shared" si="5"/>
        <v>6.774</v>
      </c>
      <c r="L27" s="68">
        <f>ROUND((H27)*J27/1000*K27,1)-0.1</f>
        <v>626.5</v>
      </c>
      <c r="M27" s="68">
        <f t="shared" si="2"/>
        <v>0</v>
      </c>
      <c r="N27" s="68">
        <f t="shared" si="3"/>
        <v>626.5</v>
      </c>
      <c r="O27" s="122">
        <v>626.5</v>
      </c>
      <c r="P27" s="69">
        <f t="shared" si="4"/>
        <v>0</v>
      </c>
    </row>
    <row r="28" spans="1:16" s="69" customFormat="1" ht="18.75" customHeight="1">
      <c r="A28" s="66">
        <v>21</v>
      </c>
      <c r="B28" s="67" t="s">
        <v>29</v>
      </c>
      <c r="C28" s="144">
        <v>22952</v>
      </c>
      <c r="D28" s="28"/>
      <c r="E28" s="134">
        <v>7708</v>
      </c>
      <c r="F28" s="135">
        <f t="shared" si="0"/>
        <v>2.978</v>
      </c>
      <c r="G28" s="136">
        <f t="shared" si="1"/>
        <v>0</v>
      </c>
      <c r="H28" s="124">
        <v>27</v>
      </c>
      <c r="I28" s="96"/>
      <c r="J28" s="134">
        <v>7708</v>
      </c>
      <c r="K28" s="135">
        <f t="shared" si="5"/>
        <v>2.978</v>
      </c>
      <c r="L28" s="68">
        <f>ROUND((H28)*J28/1000*K28,1)-0.1</f>
        <v>619.6999999999999</v>
      </c>
      <c r="M28" s="68">
        <f t="shared" si="2"/>
        <v>0</v>
      </c>
      <c r="N28" s="68">
        <f t="shared" si="3"/>
        <v>619.6999999999999</v>
      </c>
      <c r="O28" s="122">
        <v>619.6999999999999</v>
      </c>
      <c r="P28" s="69">
        <f t="shared" si="4"/>
        <v>0</v>
      </c>
    </row>
    <row r="29" spans="1:16" s="69" customFormat="1" ht="15.75">
      <c r="A29" s="70">
        <v>22</v>
      </c>
      <c r="B29" s="67" t="s">
        <v>16</v>
      </c>
      <c r="C29" s="133">
        <v>10926</v>
      </c>
      <c r="D29" s="29"/>
      <c r="E29" s="134">
        <v>7708</v>
      </c>
      <c r="F29" s="135">
        <f t="shared" si="0"/>
        <v>1.417</v>
      </c>
      <c r="G29" s="136">
        <f t="shared" si="1"/>
        <v>0</v>
      </c>
      <c r="H29" s="123">
        <v>95</v>
      </c>
      <c r="I29" s="105"/>
      <c r="J29" s="134">
        <v>7708</v>
      </c>
      <c r="K29" s="135">
        <f t="shared" si="5"/>
        <v>1.417</v>
      </c>
      <c r="L29" s="68">
        <f>ROUND((H29)*J29/1000*K29,1)+0.3</f>
        <v>1037.8999999999999</v>
      </c>
      <c r="M29" s="68">
        <f t="shared" si="2"/>
        <v>0</v>
      </c>
      <c r="N29" s="68">
        <f t="shared" si="3"/>
        <v>1037.8999999999999</v>
      </c>
      <c r="O29" s="122">
        <v>1037.8999999999999</v>
      </c>
      <c r="P29" s="69">
        <f t="shared" si="4"/>
        <v>0</v>
      </c>
    </row>
    <row r="30" spans="1:16" s="69" customFormat="1" ht="15.75">
      <c r="A30" s="66">
        <v>23</v>
      </c>
      <c r="B30" s="67" t="s">
        <v>17</v>
      </c>
      <c r="C30" s="137">
        <v>11240</v>
      </c>
      <c r="D30" s="27"/>
      <c r="E30" s="134">
        <v>7708</v>
      </c>
      <c r="F30" s="135">
        <f t="shared" si="0"/>
        <v>1.458</v>
      </c>
      <c r="G30" s="136">
        <f t="shared" si="1"/>
        <v>0</v>
      </c>
      <c r="H30" s="124">
        <v>74</v>
      </c>
      <c r="I30" s="96">
        <v>17</v>
      </c>
      <c r="J30" s="134">
        <v>7708</v>
      </c>
      <c r="K30" s="135">
        <f t="shared" si="5"/>
        <v>1.458</v>
      </c>
      <c r="L30" s="68">
        <f>ROUND((H30)*J30/1000*K30,1)+0.1</f>
        <v>831.7</v>
      </c>
      <c r="M30" s="68">
        <f t="shared" si="2"/>
        <v>191.1</v>
      </c>
      <c r="N30" s="68">
        <f t="shared" si="3"/>
        <v>1022.8000000000001</v>
      </c>
      <c r="O30" s="122">
        <v>1022.8000000000001</v>
      </c>
      <c r="P30" s="69">
        <f t="shared" si="4"/>
        <v>0</v>
      </c>
    </row>
    <row r="31" spans="1:16" s="73" customFormat="1" ht="18" customHeight="1">
      <c r="A31" s="70">
        <v>24</v>
      </c>
      <c r="B31" s="71" t="s">
        <v>18</v>
      </c>
      <c r="C31" s="144">
        <v>10289</v>
      </c>
      <c r="D31" s="28">
        <v>21</v>
      </c>
      <c r="E31" s="134">
        <v>7708</v>
      </c>
      <c r="F31" s="135">
        <f t="shared" si="0"/>
        <v>1.335</v>
      </c>
      <c r="G31" s="136">
        <f t="shared" si="1"/>
        <v>216.1</v>
      </c>
      <c r="H31" s="124">
        <v>52</v>
      </c>
      <c r="I31" s="124">
        <v>44</v>
      </c>
      <c r="J31" s="134">
        <v>7708</v>
      </c>
      <c r="K31" s="135">
        <f t="shared" si="5"/>
        <v>1.335</v>
      </c>
      <c r="L31" s="68">
        <f>ROUND((H31)*J31/1000*K31,1)-0.2</f>
        <v>534.9</v>
      </c>
      <c r="M31" s="68">
        <f t="shared" si="2"/>
        <v>452.8</v>
      </c>
      <c r="N31" s="68">
        <f t="shared" si="3"/>
        <v>1203.8</v>
      </c>
      <c r="O31" s="122">
        <v>1203.7999999999997</v>
      </c>
      <c r="P31" s="69">
        <f t="shared" si="4"/>
        <v>0</v>
      </c>
    </row>
    <row r="32" spans="1:16" s="69" customFormat="1" ht="15.75">
      <c r="A32" s="66">
        <v>25</v>
      </c>
      <c r="B32" s="67" t="s">
        <v>19</v>
      </c>
      <c r="C32" s="137">
        <v>8725</v>
      </c>
      <c r="D32" s="27">
        <v>18</v>
      </c>
      <c r="E32" s="134">
        <v>7708</v>
      </c>
      <c r="F32" s="135">
        <f t="shared" si="0"/>
        <v>1.132</v>
      </c>
      <c r="G32" s="136">
        <f t="shared" si="1"/>
        <v>157.1</v>
      </c>
      <c r="H32" s="124">
        <v>119</v>
      </c>
      <c r="I32" s="124"/>
      <c r="J32" s="134">
        <v>7708</v>
      </c>
      <c r="K32" s="135">
        <f t="shared" si="5"/>
        <v>1.132</v>
      </c>
      <c r="L32" s="68">
        <f>ROUND((H32)*J32/1000*K32,1)-0.1</f>
        <v>1038.2</v>
      </c>
      <c r="M32" s="68">
        <f t="shared" si="2"/>
        <v>0</v>
      </c>
      <c r="N32" s="68">
        <f t="shared" si="3"/>
        <v>1195.3</v>
      </c>
      <c r="O32" s="122">
        <v>1195.3</v>
      </c>
      <c r="P32" s="69">
        <f t="shared" si="4"/>
        <v>0</v>
      </c>
    </row>
    <row r="33" spans="1:16" s="69" customFormat="1" ht="15.75">
      <c r="A33" s="70">
        <v>26</v>
      </c>
      <c r="B33" s="67" t="s">
        <v>20</v>
      </c>
      <c r="C33" s="145">
        <v>10106</v>
      </c>
      <c r="D33" s="146">
        <v>24</v>
      </c>
      <c r="E33" s="134">
        <v>7708</v>
      </c>
      <c r="F33" s="135">
        <f t="shared" si="0"/>
        <v>1.311</v>
      </c>
      <c r="G33" s="136">
        <f t="shared" si="1"/>
        <v>242.5</v>
      </c>
      <c r="H33" s="127">
        <v>112</v>
      </c>
      <c r="I33" s="127"/>
      <c r="J33" s="134">
        <v>7708</v>
      </c>
      <c r="K33" s="135">
        <f t="shared" si="5"/>
        <v>1.311</v>
      </c>
      <c r="L33" s="68">
        <f>ROUND((H33)*J33/1000*K33,1)+0.1</f>
        <v>1131.8999999999999</v>
      </c>
      <c r="M33" s="68">
        <f t="shared" si="2"/>
        <v>0</v>
      </c>
      <c r="N33" s="68">
        <f t="shared" si="3"/>
        <v>1374.3999999999999</v>
      </c>
      <c r="O33" s="122">
        <v>1374.3999999999999</v>
      </c>
      <c r="P33" s="69">
        <f t="shared" si="4"/>
        <v>0</v>
      </c>
    </row>
    <row r="34" spans="1:16" s="69" customFormat="1" ht="15.75">
      <c r="A34" s="66">
        <v>27</v>
      </c>
      <c r="B34" s="67" t="s">
        <v>30</v>
      </c>
      <c r="C34" s="137">
        <v>30253</v>
      </c>
      <c r="D34" s="27"/>
      <c r="E34" s="134">
        <v>7708</v>
      </c>
      <c r="F34" s="135">
        <f t="shared" si="0"/>
        <v>3.925</v>
      </c>
      <c r="G34" s="136">
        <f t="shared" si="1"/>
        <v>0</v>
      </c>
      <c r="H34" s="124">
        <v>20</v>
      </c>
      <c r="I34" s="124"/>
      <c r="J34" s="134">
        <v>7708</v>
      </c>
      <c r="K34" s="135">
        <f t="shared" si="5"/>
        <v>3.925</v>
      </c>
      <c r="L34" s="68">
        <f>ROUND((H34)*J34/1000*K34,1)-0.1</f>
        <v>605</v>
      </c>
      <c r="M34" s="68">
        <f t="shared" si="2"/>
        <v>0</v>
      </c>
      <c r="N34" s="68">
        <f t="shared" si="3"/>
        <v>605</v>
      </c>
      <c r="O34" s="122">
        <v>605</v>
      </c>
      <c r="P34" s="69">
        <f t="shared" si="4"/>
        <v>0</v>
      </c>
    </row>
    <row r="35" spans="1:16" s="69" customFormat="1" ht="15.75">
      <c r="A35" s="70">
        <v>28</v>
      </c>
      <c r="B35" s="67" t="s">
        <v>31</v>
      </c>
      <c r="C35" s="137">
        <v>25764</v>
      </c>
      <c r="D35" s="27"/>
      <c r="E35" s="134">
        <v>7708</v>
      </c>
      <c r="F35" s="135">
        <f t="shared" si="0"/>
        <v>3.343</v>
      </c>
      <c r="G35" s="136">
        <f t="shared" si="1"/>
        <v>0</v>
      </c>
      <c r="H35" s="124">
        <v>18</v>
      </c>
      <c r="I35" s="124"/>
      <c r="J35" s="134">
        <v>7708</v>
      </c>
      <c r="K35" s="135">
        <f t="shared" si="5"/>
        <v>3.343</v>
      </c>
      <c r="L35" s="68">
        <f>ROUND((H35)*J35/1000*K35,1)-0.1</f>
        <v>463.7</v>
      </c>
      <c r="M35" s="68">
        <f t="shared" si="2"/>
        <v>0</v>
      </c>
      <c r="N35" s="68">
        <f t="shared" si="3"/>
        <v>463.7</v>
      </c>
      <c r="O35" s="122">
        <v>463.7</v>
      </c>
      <c r="P35" s="69">
        <f t="shared" si="4"/>
        <v>0</v>
      </c>
    </row>
    <row r="36" spans="1:16" s="69" customFormat="1" ht="15.75">
      <c r="A36" s="66">
        <v>29</v>
      </c>
      <c r="B36" s="67" t="s">
        <v>21</v>
      </c>
      <c r="C36" s="137">
        <v>9639</v>
      </c>
      <c r="D36" s="27"/>
      <c r="E36" s="134">
        <v>7708</v>
      </c>
      <c r="F36" s="135">
        <f t="shared" si="0"/>
        <v>1.251</v>
      </c>
      <c r="G36" s="136">
        <f t="shared" si="1"/>
        <v>0</v>
      </c>
      <c r="H36" s="124">
        <v>62</v>
      </c>
      <c r="I36" s="124"/>
      <c r="J36" s="134">
        <v>7708</v>
      </c>
      <c r="K36" s="135">
        <f t="shared" si="5"/>
        <v>1.251</v>
      </c>
      <c r="L36" s="68">
        <f>ROUND((H36)*J36/1000*K36,1)-0.2</f>
        <v>597.5999999999999</v>
      </c>
      <c r="M36" s="68">
        <f t="shared" si="2"/>
        <v>0</v>
      </c>
      <c r="N36" s="68">
        <f t="shared" si="3"/>
        <v>597.5999999999999</v>
      </c>
      <c r="O36" s="122">
        <v>597.5999999999999</v>
      </c>
      <c r="P36" s="69">
        <f t="shared" si="4"/>
        <v>0</v>
      </c>
    </row>
    <row r="37" spans="1:16" s="69" customFormat="1" ht="15.75">
      <c r="A37" s="70">
        <v>30</v>
      </c>
      <c r="B37" s="67" t="s">
        <v>32</v>
      </c>
      <c r="C37" s="138">
        <v>56683</v>
      </c>
      <c r="D37" s="139"/>
      <c r="E37" s="134">
        <v>7708</v>
      </c>
      <c r="F37" s="135">
        <f t="shared" si="0"/>
        <v>7.354</v>
      </c>
      <c r="G37" s="136">
        <f t="shared" si="1"/>
        <v>0</v>
      </c>
      <c r="H37" s="124">
        <v>12</v>
      </c>
      <c r="I37" s="124"/>
      <c r="J37" s="134">
        <v>7708</v>
      </c>
      <c r="K37" s="135">
        <f t="shared" si="5"/>
        <v>7.354</v>
      </c>
      <c r="L37" s="68">
        <f>ROUND((H37)*J37/1000*K37,1)</f>
        <v>680.2</v>
      </c>
      <c r="M37" s="68">
        <f t="shared" si="2"/>
        <v>0</v>
      </c>
      <c r="N37" s="68">
        <f t="shared" si="3"/>
        <v>680.2</v>
      </c>
      <c r="O37" s="122">
        <v>680.2</v>
      </c>
      <c r="P37" s="69">
        <f t="shared" si="4"/>
        <v>0</v>
      </c>
    </row>
    <row r="38" spans="1:16" s="69" customFormat="1" ht="17.25" customHeight="1">
      <c r="A38" s="66">
        <v>31</v>
      </c>
      <c r="B38" s="67" t="s">
        <v>33</v>
      </c>
      <c r="C38" s="138">
        <v>22139</v>
      </c>
      <c r="D38" s="139"/>
      <c r="E38" s="134">
        <v>7708</v>
      </c>
      <c r="F38" s="135">
        <f t="shared" si="0"/>
        <v>2.872</v>
      </c>
      <c r="G38" s="136">
        <f t="shared" si="1"/>
        <v>0</v>
      </c>
      <c r="H38" s="124">
        <v>31</v>
      </c>
      <c r="I38" s="124"/>
      <c r="J38" s="134">
        <v>7708</v>
      </c>
      <c r="K38" s="135">
        <f t="shared" si="5"/>
        <v>2.872</v>
      </c>
      <c r="L38" s="68">
        <f>ROUND((H38)*J38/1000*K38,1)</f>
        <v>686.3</v>
      </c>
      <c r="M38" s="68">
        <f t="shared" si="2"/>
        <v>0</v>
      </c>
      <c r="N38" s="68">
        <f t="shared" si="3"/>
        <v>686.3</v>
      </c>
      <c r="O38" s="122">
        <v>686.3</v>
      </c>
      <c r="P38" s="69">
        <f t="shared" si="4"/>
        <v>0</v>
      </c>
    </row>
    <row r="39" spans="1:16" s="69" customFormat="1" ht="15.75">
      <c r="A39" s="70">
        <v>32</v>
      </c>
      <c r="B39" s="67" t="s">
        <v>34</v>
      </c>
      <c r="C39" s="137">
        <v>4725</v>
      </c>
      <c r="D39" s="27"/>
      <c r="E39" s="134">
        <v>7708</v>
      </c>
      <c r="F39" s="135">
        <f t="shared" si="0"/>
        <v>0.613</v>
      </c>
      <c r="G39" s="136">
        <f t="shared" si="1"/>
        <v>0</v>
      </c>
      <c r="H39" s="124">
        <v>26</v>
      </c>
      <c r="I39" s="124"/>
      <c r="J39" s="134">
        <v>7708</v>
      </c>
      <c r="K39" s="135">
        <f t="shared" si="5"/>
        <v>0.613</v>
      </c>
      <c r="L39" s="68">
        <f>ROUND((H39)*J39/1000*K39,1)-0.1</f>
        <v>122.80000000000001</v>
      </c>
      <c r="M39" s="68">
        <f t="shared" si="2"/>
        <v>0</v>
      </c>
      <c r="N39" s="68">
        <f t="shared" si="3"/>
        <v>122.80000000000001</v>
      </c>
      <c r="O39" s="122">
        <v>122.80000000000001</v>
      </c>
      <c r="P39" s="69">
        <f t="shared" si="4"/>
        <v>0</v>
      </c>
    </row>
    <row r="40" spans="1:16" s="69" customFormat="1" ht="15.75">
      <c r="A40" s="66">
        <v>33</v>
      </c>
      <c r="B40" s="67" t="s">
        <v>35</v>
      </c>
      <c r="C40" s="137">
        <v>30281</v>
      </c>
      <c r="D40" s="27"/>
      <c r="E40" s="134">
        <v>7708</v>
      </c>
      <c r="F40" s="135">
        <f t="shared" si="0"/>
        <v>3.929</v>
      </c>
      <c r="G40" s="136">
        <f t="shared" si="1"/>
        <v>0</v>
      </c>
      <c r="H40" s="124">
        <v>34</v>
      </c>
      <c r="I40" s="96"/>
      <c r="J40" s="134">
        <v>7708</v>
      </c>
      <c r="K40" s="135">
        <f t="shared" si="5"/>
        <v>3.929</v>
      </c>
      <c r="L40" s="68">
        <f>ROUND((H40)*J40/1000*K40,1)-0.2</f>
        <v>1029.5</v>
      </c>
      <c r="M40" s="68">
        <f t="shared" si="2"/>
        <v>0</v>
      </c>
      <c r="N40" s="68">
        <f t="shared" si="3"/>
        <v>1029.5</v>
      </c>
      <c r="O40" s="122">
        <v>1029.5</v>
      </c>
      <c r="P40" s="69">
        <f t="shared" si="4"/>
        <v>0</v>
      </c>
    </row>
    <row r="41" spans="1:16" s="73" customFormat="1" ht="16.5" customHeight="1">
      <c r="A41" s="74">
        <v>34</v>
      </c>
      <c r="B41" s="71" t="s">
        <v>36</v>
      </c>
      <c r="C41" s="144">
        <v>16839</v>
      </c>
      <c r="D41" s="28"/>
      <c r="E41" s="134">
        <v>7708</v>
      </c>
      <c r="F41" s="135">
        <f t="shared" si="0"/>
        <v>2.185</v>
      </c>
      <c r="G41" s="136">
        <f t="shared" si="1"/>
        <v>0</v>
      </c>
      <c r="H41" s="124">
        <v>22</v>
      </c>
      <c r="I41" s="96"/>
      <c r="J41" s="134">
        <v>7708</v>
      </c>
      <c r="K41" s="135">
        <f t="shared" si="5"/>
        <v>2.185</v>
      </c>
      <c r="L41" s="68">
        <f>ROUND((H41)*J41/1000*K41,1)-0.1</f>
        <v>370.4</v>
      </c>
      <c r="M41" s="68">
        <f t="shared" si="2"/>
        <v>0</v>
      </c>
      <c r="N41" s="68">
        <f t="shared" si="3"/>
        <v>370.4</v>
      </c>
      <c r="O41" s="122">
        <v>370.4</v>
      </c>
      <c r="P41" s="69">
        <f t="shared" si="4"/>
        <v>0</v>
      </c>
    </row>
    <row r="42" spans="1:16" s="73" customFormat="1" ht="15" customHeight="1">
      <c r="A42" s="72">
        <v>35</v>
      </c>
      <c r="B42" s="71" t="s">
        <v>37</v>
      </c>
      <c r="C42" s="144">
        <v>20022</v>
      </c>
      <c r="D42" s="28"/>
      <c r="E42" s="134">
        <v>7708</v>
      </c>
      <c r="F42" s="135">
        <f t="shared" si="0"/>
        <v>2.598</v>
      </c>
      <c r="G42" s="136">
        <f t="shared" si="1"/>
        <v>0</v>
      </c>
      <c r="H42" s="124">
        <v>34</v>
      </c>
      <c r="I42" s="124"/>
      <c r="J42" s="134">
        <v>7708</v>
      </c>
      <c r="K42" s="135">
        <f t="shared" si="5"/>
        <v>2.598</v>
      </c>
      <c r="L42" s="68">
        <f>ROUND((H42)*J42/1000*K42,1)-0.2</f>
        <v>680.6999999999999</v>
      </c>
      <c r="M42" s="68">
        <f t="shared" si="2"/>
        <v>0</v>
      </c>
      <c r="N42" s="68">
        <f t="shared" si="3"/>
        <v>680.6999999999999</v>
      </c>
      <c r="O42" s="122">
        <v>680.6999999999999</v>
      </c>
      <c r="P42" s="69">
        <f t="shared" si="4"/>
        <v>0</v>
      </c>
    </row>
    <row r="43" spans="1:16" s="69" customFormat="1" ht="15.75" customHeight="1">
      <c r="A43" s="70">
        <v>36</v>
      </c>
      <c r="B43" s="67" t="s">
        <v>38</v>
      </c>
      <c r="C43" s="137">
        <v>17502</v>
      </c>
      <c r="D43" s="27"/>
      <c r="E43" s="134">
        <v>7708</v>
      </c>
      <c r="F43" s="135">
        <f t="shared" si="0"/>
        <v>2.271</v>
      </c>
      <c r="G43" s="136">
        <f t="shared" si="1"/>
        <v>0</v>
      </c>
      <c r="H43" s="124">
        <v>63</v>
      </c>
      <c r="I43" s="124"/>
      <c r="J43" s="134">
        <v>7708</v>
      </c>
      <c r="K43" s="135">
        <f t="shared" si="5"/>
        <v>2.271</v>
      </c>
      <c r="L43" s="68">
        <f>ROUND((H43)*J43/1000*K43,1)-0.2</f>
        <v>1102.6</v>
      </c>
      <c r="M43" s="68">
        <f t="shared" si="2"/>
        <v>0</v>
      </c>
      <c r="N43" s="68">
        <f t="shared" si="3"/>
        <v>1102.6</v>
      </c>
      <c r="O43" s="122">
        <v>1102.6</v>
      </c>
      <c r="P43" s="69">
        <f t="shared" si="4"/>
        <v>0</v>
      </c>
    </row>
    <row r="44" spans="1:16" s="69" customFormat="1" ht="15.75">
      <c r="A44" s="66">
        <v>37</v>
      </c>
      <c r="B44" s="67" t="s">
        <v>39</v>
      </c>
      <c r="C44" s="137">
        <v>57429</v>
      </c>
      <c r="D44" s="27"/>
      <c r="E44" s="134">
        <v>7708</v>
      </c>
      <c r="F44" s="135">
        <f t="shared" si="0"/>
        <v>7.451</v>
      </c>
      <c r="G44" s="136">
        <f t="shared" si="1"/>
        <v>0</v>
      </c>
      <c r="H44" s="124">
        <v>12</v>
      </c>
      <c r="I44" s="124"/>
      <c r="J44" s="134">
        <v>7708</v>
      </c>
      <c r="K44" s="135">
        <f t="shared" si="5"/>
        <v>7.451</v>
      </c>
      <c r="L44" s="68">
        <f>ROUND((H44)*J44/1000*K44,1)-0.1</f>
        <v>689.1</v>
      </c>
      <c r="M44" s="68">
        <f t="shared" si="2"/>
        <v>0</v>
      </c>
      <c r="N44" s="68">
        <f t="shared" si="3"/>
        <v>689.1</v>
      </c>
      <c r="O44" s="122">
        <v>689.1</v>
      </c>
      <c r="P44" s="69">
        <f t="shared" si="4"/>
        <v>0</v>
      </c>
    </row>
    <row r="45" spans="1:16" s="69" customFormat="1" ht="15.75">
      <c r="A45" s="70">
        <v>38</v>
      </c>
      <c r="B45" s="67" t="s">
        <v>22</v>
      </c>
      <c r="C45" s="128">
        <v>16854</v>
      </c>
      <c r="D45" s="128"/>
      <c r="E45" s="134">
        <v>7708</v>
      </c>
      <c r="F45" s="135">
        <f t="shared" si="0"/>
        <v>2.187</v>
      </c>
      <c r="G45" s="136">
        <f t="shared" si="1"/>
        <v>0</v>
      </c>
      <c r="H45" s="128">
        <v>40</v>
      </c>
      <c r="I45" s="128"/>
      <c r="J45" s="134">
        <v>7708</v>
      </c>
      <c r="K45" s="135">
        <f t="shared" si="5"/>
        <v>2.187</v>
      </c>
      <c r="L45" s="68">
        <f>ROUND((H45)*J45/1000*K45,1)-0.2</f>
        <v>674.0999999999999</v>
      </c>
      <c r="M45" s="68">
        <f t="shared" si="2"/>
        <v>0</v>
      </c>
      <c r="N45" s="68">
        <f t="shared" si="3"/>
        <v>674.0999999999999</v>
      </c>
      <c r="O45" s="122">
        <v>674.0999999999999</v>
      </c>
      <c r="P45" s="69">
        <f t="shared" si="4"/>
        <v>0</v>
      </c>
    </row>
    <row r="46" spans="1:16" s="69" customFormat="1" ht="15.75">
      <c r="A46" s="66">
        <v>39</v>
      </c>
      <c r="B46" s="67" t="s">
        <v>40</v>
      </c>
      <c r="C46" s="137">
        <v>31393</v>
      </c>
      <c r="D46" s="27"/>
      <c r="E46" s="134">
        <v>7708</v>
      </c>
      <c r="F46" s="135">
        <f t="shared" si="0"/>
        <v>4.073</v>
      </c>
      <c r="G46" s="136">
        <f t="shared" si="1"/>
        <v>0</v>
      </c>
      <c r="H46" s="124">
        <v>22</v>
      </c>
      <c r="I46" s="124"/>
      <c r="J46" s="134">
        <v>7708</v>
      </c>
      <c r="K46" s="135">
        <f t="shared" si="5"/>
        <v>4.073</v>
      </c>
      <c r="L46" s="68">
        <f>ROUND((H46)*J46/1000*K46,1)-0.1</f>
        <v>690.6</v>
      </c>
      <c r="M46" s="68">
        <f t="shared" si="2"/>
        <v>0</v>
      </c>
      <c r="N46" s="68">
        <f t="shared" si="3"/>
        <v>690.6</v>
      </c>
      <c r="O46" s="122">
        <v>690.6</v>
      </c>
      <c r="P46" s="69">
        <f t="shared" si="4"/>
        <v>0</v>
      </c>
    </row>
    <row r="47" spans="1:16" s="69" customFormat="1" ht="15.75">
      <c r="A47" s="70">
        <v>40</v>
      </c>
      <c r="B47" s="67" t="s">
        <v>41</v>
      </c>
      <c r="C47" s="137">
        <v>75286</v>
      </c>
      <c r="D47" s="27"/>
      <c r="E47" s="134">
        <v>7708</v>
      </c>
      <c r="F47" s="135">
        <f t="shared" si="0"/>
        <v>9.767</v>
      </c>
      <c r="G47" s="136">
        <f t="shared" si="1"/>
        <v>0</v>
      </c>
      <c r="H47" s="124">
        <v>7</v>
      </c>
      <c r="I47" s="124"/>
      <c r="J47" s="134">
        <v>7708</v>
      </c>
      <c r="K47" s="135">
        <f t="shared" si="5"/>
        <v>9.767</v>
      </c>
      <c r="L47" s="68">
        <f>ROUND((H47)*J47/1000*K47,1)</f>
        <v>527</v>
      </c>
      <c r="M47" s="68">
        <f t="shared" si="2"/>
        <v>0</v>
      </c>
      <c r="N47" s="68">
        <f t="shared" si="3"/>
        <v>527</v>
      </c>
      <c r="O47" s="122">
        <v>527</v>
      </c>
      <c r="P47" s="69">
        <f t="shared" si="4"/>
        <v>0</v>
      </c>
    </row>
    <row r="48" spans="1:16" s="69" customFormat="1" ht="15.75">
      <c r="A48" s="66">
        <v>41</v>
      </c>
      <c r="B48" s="67" t="s">
        <v>42</v>
      </c>
      <c r="C48" s="137">
        <v>35613</v>
      </c>
      <c r="D48" s="27"/>
      <c r="E48" s="134">
        <v>7708</v>
      </c>
      <c r="F48" s="135">
        <f t="shared" si="0"/>
        <v>4.62</v>
      </c>
      <c r="G48" s="136">
        <f t="shared" si="1"/>
        <v>0</v>
      </c>
      <c r="H48" s="124">
        <v>15</v>
      </c>
      <c r="I48" s="96"/>
      <c r="J48" s="134">
        <v>7708</v>
      </c>
      <c r="K48" s="135">
        <f t="shared" si="5"/>
        <v>4.62</v>
      </c>
      <c r="L48" s="68">
        <f>ROUND((H48)*J48/1000*K48,1)</f>
        <v>534.2</v>
      </c>
      <c r="M48" s="68">
        <f t="shared" si="2"/>
        <v>0</v>
      </c>
      <c r="N48" s="68">
        <f t="shared" si="3"/>
        <v>534.2</v>
      </c>
      <c r="O48" s="122">
        <v>534.2</v>
      </c>
      <c r="P48" s="69">
        <f t="shared" si="4"/>
        <v>0</v>
      </c>
    </row>
    <row r="49" spans="1:16" s="69" customFormat="1" ht="15.75">
      <c r="A49" s="70">
        <v>42</v>
      </c>
      <c r="B49" s="67" t="s">
        <v>23</v>
      </c>
      <c r="C49" s="137">
        <v>27718</v>
      </c>
      <c r="D49" s="27"/>
      <c r="E49" s="134">
        <v>7708</v>
      </c>
      <c r="F49" s="135">
        <f t="shared" si="0"/>
        <v>3.596</v>
      </c>
      <c r="G49" s="136">
        <f t="shared" si="1"/>
        <v>0</v>
      </c>
      <c r="H49" s="124">
        <v>17</v>
      </c>
      <c r="I49" s="124"/>
      <c r="J49" s="134">
        <v>7708</v>
      </c>
      <c r="K49" s="135">
        <f t="shared" si="5"/>
        <v>3.596</v>
      </c>
      <c r="L49" s="68">
        <f>ROUND((H49)*J49/1000*K49,1)</f>
        <v>471.2</v>
      </c>
      <c r="M49" s="68">
        <f t="shared" si="2"/>
        <v>0</v>
      </c>
      <c r="N49" s="68">
        <f t="shared" si="3"/>
        <v>471.2</v>
      </c>
      <c r="O49" s="122">
        <v>471.2</v>
      </c>
      <c r="P49" s="69">
        <f t="shared" si="4"/>
        <v>0</v>
      </c>
    </row>
    <row r="50" spans="1:16" s="69" customFormat="1" ht="15.75">
      <c r="A50" s="66">
        <v>43</v>
      </c>
      <c r="B50" s="67" t="s">
        <v>43</v>
      </c>
      <c r="C50" s="137">
        <v>21548</v>
      </c>
      <c r="D50" s="27"/>
      <c r="E50" s="134">
        <v>7708</v>
      </c>
      <c r="F50" s="135">
        <f t="shared" si="0"/>
        <v>2.796</v>
      </c>
      <c r="G50" s="136">
        <f t="shared" si="1"/>
        <v>0</v>
      </c>
      <c r="H50" s="124">
        <v>21</v>
      </c>
      <c r="I50" s="124"/>
      <c r="J50" s="134">
        <v>7708</v>
      </c>
      <c r="K50" s="135">
        <f t="shared" si="5"/>
        <v>2.796</v>
      </c>
      <c r="L50" s="68">
        <f>ROUND((H50)*J50/1000*K50,1)-0.1</f>
        <v>452.5</v>
      </c>
      <c r="M50" s="68">
        <f t="shared" si="2"/>
        <v>0</v>
      </c>
      <c r="N50" s="68">
        <f t="shared" si="3"/>
        <v>452.5</v>
      </c>
      <c r="O50" s="122">
        <v>452.5</v>
      </c>
      <c r="P50" s="69">
        <f t="shared" si="4"/>
        <v>0</v>
      </c>
    </row>
    <row r="51" spans="1:16" s="69" customFormat="1" ht="34.5" customHeight="1">
      <c r="A51" s="70">
        <v>44</v>
      </c>
      <c r="B51" s="71" t="s">
        <v>44</v>
      </c>
      <c r="C51" s="144">
        <v>30417</v>
      </c>
      <c r="D51" s="28"/>
      <c r="E51" s="134">
        <v>7708</v>
      </c>
      <c r="F51" s="135">
        <f t="shared" si="0"/>
        <v>3.946</v>
      </c>
      <c r="G51" s="136">
        <f t="shared" si="1"/>
        <v>0</v>
      </c>
      <c r="H51" s="124">
        <v>9</v>
      </c>
      <c r="I51" s="124"/>
      <c r="J51" s="134">
        <v>7708</v>
      </c>
      <c r="K51" s="135">
        <f t="shared" si="5"/>
        <v>3.946</v>
      </c>
      <c r="L51" s="68">
        <f>ROUND((H51)*J51/1000*K51,1)</f>
        <v>273.7</v>
      </c>
      <c r="M51" s="68">
        <f t="shared" si="2"/>
        <v>0</v>
      </c>
      <c r="N51" s="68">
        <f t="shared" si="3"/>
        <v>273.7</v>
      </c>
      <c r="O51" s="122">
        <v>273.7</v>
      </c>
      <c r="P51" s="69">
        <f t="shared" si="4"/>
        <v>0</v>
      </c>
    </row>
    <row r="52" spans="1:16" s="73" customFormat="1" ht="31.5">
      <c r="A52" s="129">
        <v>45</v>
      </c>
      <c r="B52" s="130" t="s">
        <v>45</v>
      </c>
      <c r="C52" s="147">
        <v>22765</v>
      </c>
      <c r="D52" s="148"/>
      <c r="E52" s="149">
        <v>7708</v>
      </c>
      <c r="F52" s="150">
        <f t="shared" si="0"/>
        <v>2.953</v>
      </c>
      <c r="G52" s="151">
        <f t="shared" si="1"/>
        <v>0</v>
      </c>
      <c r="H52" s="131">
        <v>17</v>
      </c>
      <c r="I52" s="131"/>
      <c r="J52" s="149">
        <v>7708</v>
      </c>
      <c r="K52" s="150">
        <f t="shared" si="5"/>
        <v>2.953</v>
      </c>
      <c r="L52" s="132">
        <f>ROUND((H52)*J52/1000*K52,1)+0.1</f>
        <v>387</v>
      </c>
      <c r="M52" s="132">
        <f t="shared" si="2"/>
        <v>0</v>
      </c>
      <c r="N52" s="132">
        <f t="shared" si="3"/>
        <v>387</v>
      </c>
      <c r="O52" s="122">
        <v>387</v>
      </c>
      <c r="P52" s="69">
        <f t="shared" si="4"/>
        <v>0</v>
      </c>
    </row>
    <row r="53" spans="1:16" s="75" customFormat="1" ht="50.25" customHeight="1">
      <c r="A53" s="208"/>
      <c r="B53" s="209" t="s">
        <v>52</v>
      </c>
      <c r="C53" s="209"/>
      <c r="D53" s="210">
        <f>SUM(D8:D52)</f>
        <v>404</v>
      </c>
      <c r="E53" s="210"/>
      <c r="F53" s="211"/>
      <c r="G53" s="212"/>
      <c r="H53" s="210">
        <f>SUM(H8:H52)</f>
        <v>2838</v>
      </c>
      <c r="I53" s="210">
        <f>SUM(I8:I52)</f>
        <v>305</v>
      </c>
      <c r="J53" s="210"/>
      <c r="K53" s="213"/>
      <c r="L53" s="214">
        <f>SUM(L8:L52)</f>
        <v>37539.39999999999</v>
      </c>
      <c r="M53" s="214">
        <f>SUM(M8:M52)</f>
        <v>3087.2000000000003</v>
      </c>
      <c r="N53" s="214">
        <f>SUM(N8:N52)</f>
        <v>44636.59999999998</v>
      </c>
      <c r="O53" s="75">
        <f>SUM(O8:O52)</f>
        <v>44636.69999999998</v>
      </c>
      <c r="P53" s="75">
        <f>SUM(P8:P52)</f>
        <v>0.09999999999990905</v>
      </c>
    </row>
    <row r="54" spans="1:14" s="223" customFormat="1" ht="15.75">
      <c r="A54" s="215"/>
      <c r="B54" s="216"/>
      <c r="C54" s="216"/>
      <c r="D54" s="217"/>
      <c r="E54" s="218"/>
      <c r="F54" s="219"/>
      <c r="G54" s="220"/>
      <c r="H54" s="217"/>
      <c r="I54" s="217"/>
      <c r="J54" s="218"/>
      <c r="K54" s="221"/>
      <c r="L54" s="222"/>
      <c r="M54" s="222"/>
      <c r="N54" s="222"/>
    </row>
    <row r="55" spans="1:14" s="223" customFormat="1" ht="15.75">
      <c r="A55" s="215"/>
      <c r="B55" s="216"/>
      <c r="C55" s="216"/>
      <c r="D55" s="224"/>
      <c r="E55" s="218"/>
      <c r="F55" s="219"/>
      <c r="G55" s="220"/>
      <c r="H55" s="217"/>
      <c r="I55" s="224"/>
      <c r="J55" s="218"/>
      <c r="K55" s="221"/>
      <c r="L55" s="222"/>
      <c r="M55" s="222"/>
      <c r="N55" s="222"/>
    </row>
    <row r="56" spans="1:14" s="231" customFormat="1" ht="15.75">
      <c r="A56" s="225"/>
      <c r="B56" s="226"/>
      <c r="C56" s="226"/>
      <c r="D56" s="227"/>
      <c r="E56" s="228"/>
      <c r="F56" s="228"/>
      <c r="G56" s="229"/>
      <c r="H56" s="227"/>
      <c r="I56" s="227"/>
      <c r="J56" s="228"/>
      <c r="K56" s="228"/>
      <c r="L56" s="230"/>
      <c r="M56" s="230"/>
      <c r="N56" s="230"/>
    </row>
    <row r="57" spans="1:11" ht="18" customHeight="1">
      <c r="A57" s="77"/>
      <c r="B57" s="78"/>
      <c r="C57" s="78"/>
      <c r="D57" s="78"/>
      <c r="E57" s="79"/>
      <c r="F57" s="79"/>
      <c r="G57" s="79"/>
      <c r="H57" s="79"/>
      <c r="I57" s="79"/>
      <c r="J57" s="79"/>
      <c r="K57" s="79"/>
    </row>
    <row r="58" spans="1:11" ht="15.75">
      <c r="A58" s="80"/>
      <c r="B58" s="81"/>
      <c r="C58" s="81"/>
      <c r="D58" s="81"/>
      <c r="E58" s="82"/>
      <c r="F58" s="82"/>
      <c r="G58" s="82"/>
      <c r="H58" s="82"/>
      <c r="I58" s="82"/>
      <c r="J58" s="82"/>
      <c r="K58" s="82"/>
    </row>
    <row r="59" spans="1:11" ht="15.75">
      <c r="A59" s="80"/>
      <c r="B59" s="81"/>
      <c r="C59" s="81"/>
      <c r="D59" s="81"/>
      <c r="E59" s="83"/>
      <c r="F59" s="83"/>
      <c r="G59" s="83"/>
      <c r="H59" s="84"/>
      <c r="I59" s="84"/>
      <c r="J59" s="84"/>
      <c r="K59" s="84"/>
    </row>
    <row r="60" spans="1:11" ht="15.75">
      <c r="A60" s="80"/>
      <c r="B60" s="81"/>
      <c r="C60" s="81"/>
      <c r="D60" s="81"/>
      <c r="E60" s="83"/>
      <c r="F60" s="83"/>
      <c r="G60" s="83"/>
      <c r="H60" s="84"/>
      <c r="I60" s="84"/>
      <c r="J60" s="84"/>
      <c r="K60" s="84"/>
    </row>
    <row r="61" spans="1:11" ht="15.75">
      <c r="A61" s="80"/>
      <c r="B61" s="81"/>
      <c r="C61" s="81"/>
      <c r="D61" s="81"/>
      <c r="E61" s="83"/>
      <c r="F61" s="83"/>
      <c r="G61" s="83"/>
      <c r="H61" s="84"/>
      <c r="I61" s="84"/>
      <c r="J61" s="84"/>
      <c r="K61" s="84"/>
    </row>
    <row r="62" spans="1:11" ht="15.75">
      <c r="A62" s="80"/>
      <c r="B62" s="85"/>
      <c r="C62" s="85"/>
      <c r="D62" s="85"/>
      <c r="E62" s="85"/>
      <c r="F62" s="85"/>
      <c r="G62" s="85"/>
      <c r="H62" s="84"/>
      <c r="I62" s="84"/>
      <c r="J62" s="84"/>
      <c r="K62" s="84"/>
    </row>
    <row r="63" spans="1:11" ht="15.75">
      <c r="A63" s="80"/>
      <c r="B63" s="85"/>
      <c r="C63" s="85"/>
      <c r="D63" s="85"/>
      <c r="E63" s="85"/>
      <c r="F63" s="85"/>
      <c r="G63" s="85"/>
      <c r="H63" s="84"/>
      <c r="I63" s="84"/>
      <c r="J63" s="84"/>
      <c r="K63" s="84"/>
    </row>
    <row r="64" spans="1:11" ht="16.5" customHeight="1">
      <c r="A64" s="80"/>
      <c r="B64" s="81"/>
      <c r="C64" s="81"/>
      <c r="D64" s="81"/>
      <c r="E64" s="81"/>
      <c r="F64" s="81"/>
      <c r="G64" s="81"/>
      <c r="H64" s="84"/>
      <c r="I64" s="84"/>
      <c r="J64" s="84"/>
      <c r="K64" s="84"/>
    </row>
    <row r="65" spans="1:11" ht="15.75">
      <c r="A65" s="80"/>
      <c r="B65" s="81"/>
      <c r="C65" s="81"/>
      <c r="D65" s="81"/>
      <c r="E65" s="81"/>
      <c r="F65" s="81"/>
      <c r="G65" s="81"/>
      <c r="H65" s="84"/>
      <c r="I65" s="84"/>
      <c r="J65" s="84"/>
      <c r="K65" s="84"/>
    </row>
    <row r="66" spans="1:11" ht="15.75">
      <c r="A66" s="80"/>
      <c r="B66" s="81"/>
      <c r="C66" s="81"/>
      <c r="D66" s="81"/>
      <c r="E66" s="81"/>
      <c r="F66" s="81"/>
      <c r="G66" s="81"/>
      <c r="H66" s="84"/>
      <c r="I66" s="84"/>
      <c r="J66" s="84"/>
      <c r="K66" s="84"/>
    </row>
    <row r="67" spans="1:11" ht="15.75">
      <c r="A67" s="80"/>
      <c r="B67" s="81"/>
      <c r="C67" s="81"/>
      <c r="D67" s="81"/>
      <c r="E67" s="81"/>
      <c r="F67" s="81"/>
      <c r="G67" s="81"/>
      <c r="H67" s="84"/>
      <c r="I67" s="84"/>
      <c r="J67" s="84"/>
      <c r="K67" s="84"/>
    </row>
    <row r="68" spans="1:11" ht="15.75">
      <c r="A68" s="80"/>
      <c r="B68" s="81"/>
      <c r="C68" s="81"/>
      <c r="D68" s="81"/>
      <c r="E68" s="81"/>
      <c r="F68" s="81"/>
      <c r="G68" s="81"/>
      <c r="H68" s="84"/>
      <c r="I68" s="84"/>
      <c r="J68" s="84"/>
      <c r="K68" s="84"/>
    </row>
    <row r="69" spans="1:11" ht="15.75">
      <c r="A69" s="80"/>
      <c r="B69" s="81"/>
      <c r="C69" s="81"/>
      <c r="D69" s="81"/>
      <c r="E69" s="81"/>
      <c r="F69" s="81"/>
      <c r="G69" s="81"/>
      <c r="H69" s="84"/>
      <c r="I69" s="84"/>
      <c r="J69" s="84"/>
      <c r="K69" s="84"/>
    </row>
    <row r="70" spans="1:11" ht="15.75">
      <c r="A70" s="80"/>
      <c r="B70" s="86"/>
      <c r="C70" s="86"/>
      <c r="D70" s="86"/>
      <c r="E70" s="86"/>
      <c r="F70" s="86"/>
      <c r="G70" s="86"/>
      <c r="H70" s="87"/>
      <c r="I70" s="87"/>
      <c r="J70" s="87"/>
      <c r="K70" s="87"/>
    </row>
    <row r="71" spans="1:11" s="88" customFormat="1" ht="16.5" customHeight="1">
      <c r="A71" s="201"/>
      <c r="B71" s="201"/>
      <c r="C71" s="201"/>
      <c r="D71" s="201"/>
      <c r="E71" s="201"/>
      <c r="F71" s="201"/>
      <c r="G71" s="201"/>
      <c r="H71" s="201"/>
      <c r="I71" s="201"/>
      <c r="J71" s="201"/>
      <c r="K71" s="201"/>
    </row>
    <row r="72" spans="1:11" ht="15.75">
      <c r="A72" s="80"/>
      <c r="B72" s="85"/>
      <c r="C72" s="85"/>
      <c r="D72" s="85"/>
      <c r="E72" s="85"/>
      <c r="F72" s="85"/>
      <c r="G72" s="85"/>
      <c r="H72" s="84"/>
      <c r="I72" s="84"/>
      <c r="J72" s="84"/>
      <c r="K72" s="84"/>
    </row>
    <row r="73" spans="1:11" ht="15.75">
      <c r="A73" s="80"/>
      <c r="B73" s="85"/>
      <c r="C73" s="85"/>
      <c r="D73" s="85"/>
      <c r="E73" s="85"/>
      <c r="F73" s="85"/>
      <c r="G73" s="85"/>
      <c r="H73" s="84"/>
      <c r="I73" s="84"/>
      <c r="J73" s="84"/>
      <c r="K73" s="84"/>
    </row>
    <row r="74" spans="1:11" ht="15.75">
      <c r="A74" s="80"/>
      <c r="B74" s="85"/>
      <c r="C74" s="85"/>
      <c r="D74" s="85"/>
      <c r="E74" s="85"/>
      <c r="F74" s="85"/>
      <c r="G74" s="85"/>
      <c r="H74" s="84"/>
      <c r="I74" s="84"/>
      <c r="J74" s="84"/>
      <c r="K74" s="84"/>
    </row>
    <row r="75" spans="1:11" ht="15.75">
      <c r="A75" s="80"/>
      <c r="B75" s="85"/>
      <c r="C75" s="85"/>
      <c r="D75" s="85"/>
      <c r="E75" s="85"/>
      <c r="F75" s="85"/>
      <c r="G75" s="85"/>
      <c r="H75" s="84"/>
      <c r="I75" s="84"/>
      <c r="J75" s="84"/>
      <c r="K75" s="84"/>
    </row>
    <row r="76" spans="1:11" ht="18" customHeight="1">
      <c r="A76" s="80"/>
      <c r="B76" s="85"/>
      <c r="C76" s="85"/>
      <c r="D76" s="85"/>
      <c r="E76" s="85"/>
      <c r="F76" s="85"/>
      <c r="G76" s="85"/>
      <c r="H76" s="84"/>
      <c r="I76" s="84"/>
      <c r="J76" s="84"/>
      <c r="K76" s="84"/>
    </row>
    <row r="77" spans="1:11" ht="15.75">
      <c r="A77" s="80"/>
      <c r="B77" s="85"/>
      <c r="C77" s="85"/>
      <c r="D77" s="85"/>
      <c r="E77" s="85"/>
      <c r="F77" s="85"/>
      <c r="G77" s="85"/>
      <c r="H77" s="84"/>
      <c r="I77" s="84"/>
      <c r="J77" s="84"/>
      <c r="K77" s="84"/>
    </row>
    <row r="78" spans="1:11" ht="15.75">
      <c r="A78" s="80"/>
      <c r="B78" s="85"/>
      <c r="C78" s="85"/>
      <c r="D78" s="85"/>
      <c r="E78" s="85"/>
      <c r="F78" s="85"/>
      <c r="G78" s="85"/>
      <c r="H78" s="84"/>
      <c r="I78" s="84"/>
      <c r="J78" s="84"/>
      <c r="K78" s="84"/>
    </row>
    <row r="79" spans="1:11" ht="15.75">
      <c r="A79" s="80"/>
      <c r="B79" s="85"/>
      <c r="C79" s="85"/>
      <c r="D79" s="85"/>
      <c r="E79" s="85"/>
      <c r="F79" s="85"/>
      <c r="G79" s="85"/>
      <c r="H79" s="84"/>
      <c r="I79" s="84"/>
      <c r="J79" s="84"/>
      <c r="K79" s="84"/>
    </row>
    <row r="80" spans="1:11" ht="15.75">
      <c r="A80" s="80"/>
      <c r="B80" s="85"/>
      <c r="C80" s="85"/>
      <c r="D80" s="85"/>
      <c r="E80" s="85"/>
      <c r="F80" s="85"/>
      <c r="G80" s="85"/>
      <c r="H80" s="84"/>
      <c r="I80" s="84"/>
      <c r="J80" s="84"/>
      <c r="K80" s="84"/>
    </row>
    <row r="81" spans="1:11" ht="15.75">
      <c r="A81" s="80"/>
      <c r="B81" s="85"/>
      <c r="C81" s="85"/>
      <c r="D81" s="85"/>
      <c r="E81" s="85"/>
      <c r="F81" s="85"/>
      <c r="G81" s="85"/>
      <c r="H81" s="84"/>
      <c r="I81" s="84"/>
      <c r="J81" s="84"/>
      <c r="K81" s="84"/>
    </row>
    <row r="82" spans="1:11" ht="15.75">
      <c r="A82" s="80"/>
      <c r="B82" s="81"/>
      <c r="C82" s="81"/>
      <c r="D82" s="81"/>
      <c r="E82" s="81"/>
      <c r="F82" s="81"/>
      <c r="G82" s="81"/>
      <c r="H82" s="84"/>
      <c r="I82" s="84"/>
      <c r="J82" s="84"/>
      <c r="K82" s="84"/>
    </row>
    <row r="83" spans="1:11" ht="15.75">
      <c r="A83" s="80"/>
      <c r="B83" s="81"/>
      <c r="C83" s="81"/>
      <c r="D83" s="81"/>
      <c r="E83" s="81"/>
      <c r="F83" s="81"/>
      <c r="G83" s="81"/>
      <c r="H83" s="84"/>
      <c r="I83" s="84"/>
      <c r="J83" s="84"/>
      <c r="K83" s="84"/>
    </row>
    <row r="84" spans="1:11" ht="15.75">
      <c r="A84" s="80"/>
      <c r="B84" s="81"/>
      <c r="C84" s="81"/>
      <c r="D84" s="81"/>
      <c r="E84" s="81"/>
      <c r="F84" s="81"/>
      <c r="G84" s="81"/>
      <c r="H84" s="84"/>
      <c r="I84" s="84"/>
      <c r="J84" s="84"/>
      <c r="K84" s="84"/>
    </row>
    <row r="85" spans="1:11" ht="15.75">
      <c r="A85" s="80"/>
      <c r="B85" s="81"/>
      <c r="C85" s="81"/>
      <c r="D85" s="81"/>
      <c r="E85" s="81"/>
      <c r="F85" s="81"/>
      <c r="G85" s="81"/>
      <c r="H85" s="84"/>
      <c r="I85" s="84"/>
      <c r="J85" s="84"/>
      <c r="K85" s="84"/>
    </row>
    <row r="86" spans="1:11" ht="15.75">
      <c r="A86" s="80"/>
      <c r="B86" s="81"/>
      <c r="C86" s="81"/>
      <c r="D86" s="81"/>
      <c r="E86" s="81"/>
      <c r="F86" s="81"/>
      <c r="G86" s="81"/>
      <c r="H86" s="84"/>
      <c r="I86" s="84"/>
      <c r="J86" s="84"/>
      <c r="K86" s="84"/>
    </row>
    <row r="87" spans="1:11" ht="15.75">
      <c r="A87" s="80"/>
      <c r="B87" s="81"/>
      <c r="C87" s="81"/>
      <c r="D87" s="81"/>
      <c r="E87" s="81"/>
      <c r="F87" s="81"/>
      <c r="G87" s="81"/>
      <c r="H87" s="84"/>
      <c r="I87" s="84"/>
      <c r="J87" s="84"/>
      <c r="K87" s="84"/>
    </row>
    <row r="88" spans="1:11" ht="15.75">
      <c r="A88" s="80"/>
      <c r="B88" s="81"/>
      <c r="C88" s="81"/>
      <c r="D88" s="81"/>
      <c r="E88" s="81"/>
      <c r="F88" s="81"/>
      <c r="G88" s="81"/>
      <c r="H88" s="84"/>
      <c r="I88" s="84"/>
      <c r="J88" s="84"/>
      <c r="K88" s="84"/>
    </row>
    <row r="89" spans="1:11" ht="15.75">
      <c r="A89" s="80"/>
      <c r="B89" s="81"/>
      <c r="C89" s="81"/>
      <c r="D89" s="81"/>
      <c r="E89" s="81"/>
      <c r="F89" s="81"/>
      <c r="G89" s="81"/>
      <c r="H89" s="84"/>
      <c r="I89" s="84"/>
      <c r="J89" s="84"/>
      <c r="K89" s="84"/>
    </row>
    <row r="90" spans="1:11" ht="15.75">
      <c r="A90" s="80"/>
      <c r="B90" s="81"/>
      <c r="C90" s="81"/>
      <c r="D90" s="81"/>
      <c r="E90" s="81"/>
      <c r="F90" s="81"/>
      <c r="G90" s="81"/>
      <c r="H90" s="84"/>
      <c r="I90" s="84"/>
      <c r="J90" s="84"/>
      <c r="K90" s="84"/>
    </row>
    <row r="91" spans="1:11" ht="15.75">
      <c r="A91" s="80"/>
      <c r="B91" s="81"/>
      <c r="C91" s="81"/>
      <c r="D91" s="81"/>
      <c r="E91" s="81"/>
      <c r="F91" s="81"/>
      <c r="G91" s="81"/>
      <c r="H91" s="84"/>
      <c r="I91" s="84"/>
      <c r="J91" s="84"/>
      <c r="K91" s="84"/>
    </row>
    <row r="92" spans="1:11" ht="15.75">
      <c r="A92" s="80"/>
      <c r="B92" s="81"/>
      <c r="C92" s="81"/>
      <c r="D92" s="81"/>
      <c r="E92" s="81"/>
      <c r="F92" s="81"/>
      <c r="G92" s="81"/>
      <c r="H92" s="84"/>
      <c r="I92" s="84"/>
      <c r="J92" s="84"/>
      <c r="K92" s="84"/>
    </row>
    <row r="93" spans="1:11" ht="15.75">
      <c r="A93" s="80"/>
      <c r="B93" s="81"/>
      <c r="C93" s="81"/>
      <c r="D93" s="81"/>
      <c r="E93" s="81"/>
      <c r="F93" s="81"/>
      <c r="G93" s="81"/>
      <c r="H93" s="84"/>
      <c r="I93" s="84"/>
      <c r="J93" s="84"/>
      <c r="K93" s="84"/>
    </row>
    <row r="94" spans="1:11" ht="15.75">
      <c r="A94" s="80"/>
      <c r="B94" s="81"/>
      <c r="C94" s="81"/>
      <c r="D94" s="81"/>
      <c r="E94" s="81"/>
      <c r="F94" s="81"/>
      <c r="G94" s="81"/>
      <c r="H94" s="84"/>
      <c r="I94" s="84"/>
      <c r="J94" s="84"/>
      <c r="K94" s="84"/>
    </row>
    <row r="95" spans="1:11" ht="15.75">
      <c r="A95" s="80"/>
      <c r="B95" s="81"/>
      <c r="C95" s="81"/>
      <c r="D95" s="81"/>
      <c r="E95" s="81"/>
      <c r="F95" s="81"/>
      <c r="G95" s="81"/>
      <c r="H95" s="84"/>
      <c r="I95" s="84"/>
      <c r="J95" s="84"/>
      <c r="K95" s="84"/>
    </row>
    <row r="96" spans="1:11" ht="15.75">
      <c r="A96" s="80"/>
      <c r="B96" s="81"/>
      <c r="C96" s="81"/>
      <c r="D96" s="81"/>
      <c r="E96" s="81"/>
      <c r="F96" s="81"/>
      <c r="G96" s="81"/>
      <c r="H96" s="84"/>
      <c r="I96" s="84"/>
      <c r="J96" s="84"/>
      <c r="K96" s="84"/>
    </row>
    <row r="97" spans="1:11" ht="15.75">
      <c r="A97" s="80"/>
      <c r="B97" s="81"/>
      <c r="C97" s="81"/>
      <c r="D97" s="81"/>
      <c r="E97" s="81"/>
      <c r="F97" s="81"/>
      <c r="G97" s="81"/>
      <c r="H97" s="84"/>
      <c r="I97" s="84"/>
      <c r="J97" s="84"/>
      <c r="K97" s="84"/>
    </row>
    <row r="98" spans="1:11" ht="15.75">
      <c r="A98" s="80"/>
      <c r="B98" s="81"/>
      <c r="C98" s="81"/>
      <c r="D98" s="81"/>
      <c r="E98" s="81"/>
      <c r="F98" s="81"/>
      <c r="G98" s="81"/>
      <c r="H98" s="84"/>
      <c r="I98" s="84"/>
      <c r="J98" s="84"/>
      <c r="K98" s="84"/>
    </row>
    <row r="99" spans="1:11" ht="15.75">
      <c r="A99" s="80"/>
      <c r="B99" s="81"/>
      <c r="C99" s="81"/>
      <c r="D99" s="81"/>
      <c r="E99" s="81"/>
      <c r="F99" s="81"/>
      <c r="G99" s="81"/>
      <c r="H99" s="84"/>
      <c r="I99" s="84"/>
      <c r="J99" s="84"/>
      <c r="K99" s="84"/>
    </row>
    <row r="100" spans="1:11" ht="15.75">
      <c r="A100" s="80"/>
      <c r="B100" s="81"/>
      <c r="C100" s="81"/>
      <c r="D100" s="81"/>
      <c r="E100" s="81"/>
      <c r="F100" s="81"/>
      <c r="G100" s="81"/>
      <c r="H100" s="84"/>
      <c r="I100" s="84"/>
      <c r="J100" s="84"/>
      <c r="K100" s="84"/>
    </row>
    <row r="101" spans="1:11" ht="15.75">
      <c r="A101" s="80"/>
      <c r="B101" s="81"/>
      <c r="C101" s="81"/>
      <c r="D101" s="81"/>
      <c r="E101" s="81"/>
      <c r="F101" s="81"/>
      <c r="G101" s="81"/>
      <c r="H101" s="84"/>
      <c r="I101" s="84"/>
      <c r="J101" s="84"/>
      <c r="K101" s="84"/>
    </row>
    <row r="102" spans="1:11" ht="15.75">
      <c r="A102" s="80"/>
      <c r="B102" s="81"/>
      <c r="C102" s="81"/>
      <c r="D102" s="81"/>
      <c r="E102" s="81"/>
      <c r="F102" s="81"/>
      <c r="G102" s="81"/>
      <c r="H102" s="84"/>
      <c r="I102" s="84"/>
      <c r="J102" s="84"/>
      <c r="K102" s="84"/>
    </row>
    <row r="103" spans="1:11" ht="15.75">
      <c r="A103" s="80"/>
      <c r="B103" s="81"/>
      <c r="C103" s="81"/>
      <c r="D103" s="81"/>
      <c r="E103" s="81"/>
      <c r="F103" s="81"/>
      <c r="G103" s="81"/>
      <c r="H103" s="84"/>
      <c r="I103" s="84"/>
      <c r="J103" s="84"/>
      <c r="K103" s="84"/>
    </row>
    <row r="104" spans="1:11" ht="15.75">
      <c r="A104" s="80"/>
      <c r="B104" s="81"/>
      <c r="C104" s="81"/>
      <c r="D104" s="81"/>
      <c r="E104" s="81"/>
      <c r="F104" s="81"/>
      <c r="G104" s="81"/>
      <c r="H104" s="84"/>
      <c r="I104" s="84"/>
      <c r="J104" s="84"/>
      <c r="K104" s="84"/>
    </row>
    <row r="105" spans="1:11" ht="15.75">
      <c r="A105" s="80"/>
      <c r="B105" s="81"/>
      <c r="C105" s="81"/>
      <c r="D105" s="81"/>
      <c r="E105" s="81"/>
      <c r="F105" s="81"/>
      <c r="G105" s="81"/>
      <c r="H105" s="84"/>
      <c r="I105" s="84"/>
      <c r="J105" s="84"/>
      <c r="K105" s="84"/>
    </row>
    <row r="106" spans="1:11" ht="15.75">
      <c r="A106" s="80"/>
      <c r="B106" s="81"/>
      <c r="C106" s="81"/>
      <c r="D106" s="81"/>
      <c r="E106" s="81"/>
      <c r="F106" s="81"/>
      <c r="G106" s="81"/>
      <c r="H106" s="84"/>
      <c r="I106" s="84"/>
      <c r="J106" s="84"/>
      <c r="K106" s="84"/>
    </row>
    <row r="107" spans="1:11" ht="15.75">
      <c r="A107" s="80"/>
      <c r="B107" s="81"/>
      <c r="C107" s="81"/>
      <c r="D107" s="81"/>
      <c r="E107" s="81"/>
      <c r="F107" s="81"/>
      <c r="G107" s="81"/>
      <c r="H107" s="84"/>
      <c r="I107" s="84"/>
      <c r="J107" s="84"/>
      <c r="K107" s="84"/>
    </row>
    <row r="108" spans="1:11" ht="15.75">
      <c r="A108" s="80"/>
      <c r="B108" s="81"/>
      <c r="C108" s="81"/>
      <c r="D108" s="81"/>
      <c r="E108" s="81"/>
      <c r="F108" s="81"/>
      <c r="G108" s="81"/>
      <c r="H108" s="84"/>
      <c r="I108" s="84"/>
      <c r="J108" s="84"/>
      <c r="K108" s="84"/>
    </row>
    <row r="109" spans="1:11" ht="15.75">
      <c r="A109" s="80"/>
      <c r="B109" s="81"/>
      <c r="C109" s="81"/>
      <c r="D109" s="81"/>
      <c r="E109" s="81"/>
      <c r="F109" s="81"/>
      <c r="G109" s="81"/>
      <c r="H109" s="84"/>
      <c r="I109" s="84"/>
      <c r="J109" s="84"/>
      <c r="K109" s="84"/>
    </row>
    <row r="110" spans="1:11" ht="15.75">
      <c r="A110" s="80"/>
      <c r="B110" s="81"/>
      <c r="C110" s="81"/>
      <c r="D110" s="81"/>
      <c r="E110" s="81"/>
      <c r="F110" s="81"/>
      <c r="G110" s="81"/>
      <c r="H110" s="84"/>
      <c r="I110" s="84"/>
      <c r="J110" s="84"/>
      <c r="K110" s="84"/>
    </row>
    <row r="111" spans="1:11" ht="15.75">
      <c r="A111" s="80"/>
      <c r="B111" s="81"/>
      <c r="C111" s="81"/>
      <c r="D111" s="81"/>
      <c r="E111" s="81"/>
      <c r="F111" s="81"/>
      <c r="G111" s="81"/>
      <c r="H111" s="84"/>
      <c r="I111" s="84"/>
      <c r="J111" s="84"/>
      <c r="K111" s="84"/>
    </row>
    <row r="112" spans="1:11" ht="15.75">
      <c r="A112" s="80"/>
      <c r="B112" s="81"/>
      <c r="C112" s="81"/>
      <c r="D112" s="81"/>
      <c r="E112" s="81"/>
      <c r="F112" s="81"/>
      <c r="G112" s="81"/>
      <c r="H112" s="84"/>
      <c r="I112" s="84"/>
      <c r="J112" s="84"/>
      <c r="K112" s="84"/>
    </row>
    <row r="113" spans="1:11" ht="15.75">
      <c r="A113" s="80"/>
      <c r="B113" s="81"/>
      <c r="C113" s="81"/>
      <c r="D113" s="81"/>
      <c r="E113" s="81"/>
      <c r="F113" s="81"/>
      <c r="G113" s="81"/>
      <c r="H113" s="84"/>
      <c r="I113" s="84"/>
      <c r="J113" s="84"/>
      <c r="K113" s="84"/>
    </row>
    <row r="114" spans="1:11" ht="15.75">
      <c r="A114" s="80"/>
      <c r="B114" s="81"/>
      <c r="C114" s="81"/>
      <c r="D114" s="81"/>
      <c r="E114" s="81"/>
      <c r="F114" s="81"/>
      <c r="G114" s="81"/>
      <c r="H114" s="84"/>
      <c r="I114" s="84"/>
      <c r="J114" s="84"/>
      <c r="K114" s="84"/>
    </row>
    <row r="115" spans="1:11" ht="15.75">
      <c r="A115" s="80"/>
      <c r="B115" s="81"/>
      <c r="C115" s="81"/>
      <c r="D115" s="81"/>
      <c r="E115" s="81"/>
      <c r="F115" s="81"/>
      <c r="G115" s="81"/>
      <c r="H115" s="84"/>
      <c r="I115" s="84"/>
      <c r="J115" s="84"/>
      <c r="K115" s="84"/>
    </row>
    <row r="116" spans="1:11" ht="15.75">
      <c r="A116" s="89"/>
      <c r="B116" s="90"/>
      <c r="C116" s="90"/>
      <c r="D116" s="90"/>
      <c r="E116" s="90"/>
      <c r="F116" s="90"/>
      <c r="G116" s="90"/>
      <c r="H116" s="87"/>
      <c r="I116" s="87"/>
      <c r="J116" s="87"/>
      <c r="K116" s="87"/>
    </row>
    <row r="117" spans="1:11" ht="15.75">
      <c r="A117" s="90"/>
      <c r="B117" s="90"/>
      <c r="C117" s="90"/>
      <c r="D117" s="90"/>
      <c r="E117" s="90"/>
      <c r="F117" s="90"/>
      <c r="G117" s="90"/>
      <c r="H117" s="91"/>
      <c r="I117" s="91"/>
      <c r="J117" s="91"/>
      <c r="K117" s="91"/>
    </row>
    <row r="118" spans="1:11" ht="15.75">
      <c r="A118" s="89"/>
      <c r="B118" s="89"/>
      <c r="C118" s="89"/>
      <c r="D118" s="89"/>
      <c r="E118" s="89"/>
      <c r="F118" s="89"/>
      <c r="G118" s="89"/>
      <c r="H118" s="84"/>
      <c r="I118" s="84"/>
      <c r="J118" s="84"/>
      <c r="K118" s="84"/>
    </row>
  </sheetData>
  <sheetProtection/>
  <mergeCells count="19">
    <mergeCell ref="H5:I5"/>
    <mergeCell ref="J5:J6"/>
    <mergeCell ref="G3:J3"/>
    <mergeCell ref="K3:N3"/>
    <mergeCell ref="A3:A6"/>
    <mergeCell ref="B3:B6"/>
    <mergeCell ref="C3:F3"/>
    <mergeCell ref="G4:J4"/>
    <mergeCell ref="K4:N4"/>
    <mergeCell ref="A71:K71"/>
    <mergeCell ref="K5:K6"/>
    <mergeCell ref="L5:L6"/>
    <mergeCell ref="N5:N6"/>
    <mergeCell ref="C4:F4"/>
    <mergeCell ref="C5:C6"/>
    <mergeCell ref="E5:E6"/>
    <mergeCell ref="F5:F6"/>
    <mergeCell ref="G5:G6"/>
    <mergeCell ref="M5:M6"/>
  </mergeCells>
  <printOptions horizontalCentered="1"/>
  <pageMargins left="0" right="0" top="0.5905511811023623" bottom="0" header="0" footer="0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2018-05-15T09:07:39Z</cp:lastPrinted>
  <dcterms:created xsi:type="dcterms:W3CDTF">2005-01-25T12:19:56Z</dcterms:created>
  <dcterms:modified xsi:type="dcterms:W3CDTF">2018-05-15T13:39:06Z</dcterms:modified>
  <cp:category/>
  <cp:version/>
  <cp:contentType/>
  <cp:contentStatus/>
</cp:coreProperties>
</file>