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5600" windowHeight="10740" activeTab="3"/>
  </bookViews>
  <sheets>
    <sheet name="Приложение №14" sheetId="1" r:id="rId1"/>
    <sheet name="Приложение №15" sheetId="2" r:id="rId2"/>
    <sheet name="Приложение №16" sheetId="3" r:id="rId3"/>
    <sheet name="Приложение №17" sheetId="4" r:id="rId4"/>
  </sheets>
  <definedNames>
    <definedName name="_xlnm._FilterDatabase" localSheetId="0" hidden="1">'Приложение №14'!$AU$6:$AU$43</definedName>
    <definedName name="_xlnm._FilterDatabase" localSheetId="1" hidden="1">'Приложение №15'!$T$6:$T$43</definedName>
    <definedName name="_xlnm._FilterDatabase" localSheetId="2" hidden="1">'Приложение №16'!$T$6:$T$43</definedName>
    <definedName name="Z_F8668521_FE28_47BE_8524_40CC3D12DD8E_.wvu.Cols" localSheetId="1" hidden="1">'Приложение №15'!#REF!</definedName>
    <definedName name="Z_F8668521_FE28_47BE_8524_40CC3D12DD8E_.wvu.Cols" localSheetId="2" hidden="1">'Приложение №16'!#REF!</definedName>
    <definedName name="Z_F8668521_FE28_47BE_8524_40CC3D12DD8E_.wvu.Cols" localSheetId="3" hidden="1">'Приложение №17'!#REF!</definedName>
    <definedName name="Z_F8668521_FE28_47BE_8524_40CC3D12DD8E_.wvu.PrintArea" localSheetId="0" hidden="1">'Приложение №14'!$A$1:$AQ$44</definedName>
    <definedName name="Z_F8668521_FE28_47BE_8524_40CC3D12DD8E_.wvu.PrintArea" localSheetId="1" hidden="1">'Приложение №15'!$A$1:$P$45</definedName>
    <definedName name="Z_F8668521_FE28_47BE_8524_40CC3D12DD8E_.wvu.PrintArea" localSheetId="2" hidden="1">'Приложение №16'!$A$1:$P$45</definedName>
    <definedName name="Z_F8668521_FE28_47BE_8524_40CC3D12DD8E_.wvu.PrintArea" localSheetId="3" hidden="1">'Приложение №17'!$A$1:$P$44</definedName>
    <definedName name="Z_F8668521_FE28_47BE_8524_40CC3D12DD8E_.wvu.PrintTitles" localSheetId="0" hidden="1">'Приложение №14'!$A:$B</definedName>
    <definedName name="Z_F8668521_FE28_47BE_8524_40CC3D12DD8E_.wvu.PrintTitles" localSheetId="1" hidden="1">'Приложение №15'!$B:$B</definedName>
    <definedName name="Z_F8668521_FE28_47BE_8524_40CC3D12DD8E_.wvu.PrintTitles" localSheetId="2" hidden="1">'Приложение №16'!$B:$B</definedName>
    <definedName name="Z_F8668521_FE28_47BE_8524_40CC3D12DD8E_.wvu.PrintTitles" localSheetId="3" hidden="1">'Приложение №17'!$B:$B</definedName>
    <definedName name="_xlnm.Print_Titles" localSheetId="0">'Приложение №14'!$A:$B</definedName>
    <definedName name="_xlnm.Print_Titles" localSheetId="1">'Приложение №15'!$B:$B</definedName>
    <definedName name="_xlnm.Print_Titles" localSheetId="2">'Приложение №16'!$B:$B</definedName>
    <definedName name="_xlnm.Print_Titles" localSheetId="3">'Приложение №17'!$B:$B</definedName>
    <definedName name="_xlnm.Print_Area" localSheetId="0">'Приложение №14'!$A$1:$AW$43</definedName>
    <definedName name="_xlnm.Print_Area" localSheetId="1">'Приложение №15'!$A$1:$V$43</definedName>
    <definedName name="_xlnm.Print_Area" localSheetId="2">'Приложение №16'!$A$1:$V$43</definedName>
    <definedName name="_xlnm.Print_Area" localSheetId="3">'Приложение №17'!$A$1:$K$42</definedName>
  </definedNames>
  <calcPr fullCalcOnLoad="1"/>
</workbook>
</file>

<file path=xl/sharedStrings.xml><?xml version="1.0" encoding="utf-8"?>
<sst xmlns="http://schemas.openxmlformats.org/spreadsheetml/2006/main" count="266" uniqueCount="100">
  <si>
    <t>№ п/п</t>
  </si>
  <si>
    <t>225/1 противопожарные 
мероприятия</t>
  </si>
  <si>
    <t>211/1-заработная плата</t>
  </si>
  <si>
    <t xml:space="preserve">266/3-оплата больничных </t>
  </si>
  <si>
    <t>223/1-отопление</t>
  </si>
  <si>
    <t>223/2-газ</t>
  </si>
  <si>
    <t>223/3-вывоз ЖБО</t>
  </si>
  <si>
    <t>223/4-электроэнергия</t>
  </si>
  <si>
    <t>223/5-водоснабжение</t>
  </si>
  <si>
    <t>223/6 -негативное
 воздействие</t>
  </si>
  <si>
    <t>223/7-вывоз 
 ТКО</t>
  </si>
  <si>
    <t>225/1-противопожарные 
мероприятия</t>
  </si>
  <si>
    <t>213/1-отчисления в СФР</t>
  </si>
  <si>
    <t>225 /12- 
ТО АПС</t>
  </si>
  <si>
    <t>225/14 -обслеование 
дымоходов</t>
  </si>
  <si>
    <t>225/17- огнезащитная пропитка</t>
  </si>
  <si>
    <t>225/26- ТО 
 АПС кнопки 01</t>
  </si>
  <si>
    <t>225/13- обслуживание 
камер видеонаблюдения</t>
  </si>
  <si>
    <t>225/15-ТО
охранной сигнализации</t>
  </si>
  <si>
    <t>225/11-ТО теплосчетчиков</t>
  </si>
  <si>
    <t>225/19- поверка 
электрооборудования</t>
  </si>
  <si>
    <t>225/2- дезработы</t>
  </si>
  <si>
    <t>225/23-ТО электроустановок</t>
  </si>
  <si>
    <t>225/6-содержание котельных</t>
  </si>
  <si>
    <t>226/8- противопожарные мероприятия</t>
  </si>
  <si>
    <t>226/5-вневедомственная  охрана</t>
  </si>
  <si>
    <t>226/30- 
обучение по ТБ</t>
  </si>
  <si>
    <t>226/11-санминимум</t>
  </si>
  <si>
    <t>226/2-медосмотр</t>
  </si>
  <si>
    <t>226/24-расчет тепловой нагрузки</t>
  </si>
  <si>
    <t>226/43- экологическое сопровождение</t>
  </si>
  <si>
    <t>226/29-СОУТ</t>
  </si>
  <si>
    <t>226/36-            
питание в дошкольных группах</t>
  </si>
  <si>
    <t>291/1- налог на имущество</t>
  </si>
  <si>
    <t>291/2-
 ПНВОС</t>
  </si>
  <si>
    <t>291/3- 
земельный налог</t>
  </si>
  <si>
    <t>291/5- 
транпспортный налог</t>
  </si>
  <si>
    <t>310/16- 
приобретение огнетушителей</t>
  </si>
  <si>
    <t>343/2-приобретение котельно-печного топлива</t>
  </si>
  <si>
    <t>343/3-приобретение дров</t>
  </si>
  <si>
    <t>343/4-приобретение дизельного
 топлива</t>
  </si>
  <si>
    <t xml:space="preserve">Итого затраты на общехозяйственные нужды, на присмотр и уход в дошкольных группах  и на уплату налогов , тыс. руб. </t>
  </si>
  <si>
    <t>Приложение №14</t>
  </si>
  <si>
    <t xml:space="preserve">2023 год-расчет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общеобразовательными учреждениями </t>
  </si>
  <si>
    <t>Затраты на общехозяйственные нужды  на оказание муниципальных услуг по реализации основных общеобразовательных программ  общеобразовательными учреждениями, на присмотр и уход в дошкольных группах  и на уплату налогов, в качестве объекта налогообложения по которым признается имущество учреждений, тыс.руб.</t>
  </si>
  <si>
    <t>Наименование общеобразовательного учреждения</t>
  </si>
  <si>
    <t xml:space="preserve">2024 год-расчет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общеобразовательными учреждениями </t>
  </si>
  <si>
    <t xml:space="preserve">2025 год-расчет базового норматива затрат на общехозяйственные нужды  на оказание муниципальных услуг по реализации основных общеобразовательных программ общего образования общеобразовательными учреждениями </t>
  </si>
  <si>
    <t xml:space="preserve">Затраты на общехозяйственные нужды  без затрат на присмотр и уход  в дошкольных группах и на уплату налогов , тыс. руб. </t>
  </si>
  <si>
    <t>Численность обучающихся в классах общеобразовательных учреждений (без учета обучающися на дому), чел.</t>
  </si>
  <si>
    <t>Численность получающих муниципальные услуги в дошкольных группах, чел.</t>
  </si>
  <si>
    <t>Общехозяйственные затраты  на одного обучающегося в классе или получающего муниципальные услуги в дошкольных группах, руб.</t>
  </si>
  <si>
    <t>Медианное значение общехозяйственных затрат  на одного обучающегося в классе, руб.</t>
  </si>
  <si>
    <t>Базовый норматив затрат на общехозяйственные нужды на оказание муниципальных услуг по реализации основных общеобразовательных программ общего образования общеобразовательными учреждениями, руб.</t>
  </si>
  <si>
    <t>МБОУ Апанасовская СОШ</t>
  </si>
  <si>
    <t>МБОУ Богатовская ООШ</t>
  </si>
  <si>
    <t>МБОУ Богураевская СОШ</t>
  </si>
  <si>
    <t>МБОУ Головская ООШ</t>
  </si>
  <si>
    <t>МБОУ Голубинская СОШ</t>
  </si>
  <si>
    <t>МБОУ Грушевская СОШ</t>
  </si>
  <si>
    <t>МБОУ НШ №1</t>
  </si>
  <si>
    <t>МБОУ Ильинская СОШ</t>
  </si>
  <si>
    <t>МБОУ Какичевская ООШ</t>
  </si>
  <si>
    <t>МБОУ Краснодонецкая СОШ</t>
  </si>
  <si>
    <t>МБОУ Крутинская СОШ</t>
  </si>
  <si>
    <t>МБОУ Ленинская СОШ</t>
  </si>
  <si>
    <t>МБОУ Литвиновская СОШ</t>
  </si>
  <si>
    <t>МБОУ Насонтовская ООШ</t>
  </si>
  <si>
    <t>МБОУ Нижнепоповская ООШ</t>
  </si>
  <si>
    <t>МБОУ Нижне-Серебряковская ООШ</t>
  </si>
  <si>
    <t>МБОУ ООШ №2</t>
  </si>
  <si>
    <t>МБОУ ООШ №4</t>
  </si>
  <si>
    <t>МБОУ Погореловская ООШ</t>
  </si>
  <si>
    <t>МБОУ Поцелуевская ООШ</t>
  </si>
  <si>
    <t>МБОУ Процико-Березовская ООШ</t>
  </si>
  <si>
    <t>МБОУ Сосновская СОШ</t>
  </si>
  <si>
    <t>МБОУ СОШ №1</t>
  </si>
  <si>
    <t>МБОУ СОШ №10</t>
  </si>
  <si>
    <t>МБОУ СОШ №11</t>
  </si>
  <si>
    <t>МБОУ СОШ №12</t>
  </si>
  <si>
    <t>МБОУ СОШ №14</t>
  </si>
  <si>
    <t>МБОУ СОШ №15</t>
  </si>
  <si>
    <t>МБОУ СОШ №17</t>
  </si>
  <si>
    <t>МБОУ СОШ №2</t>
  </si>
  <si>
    <t>МБОУ С0Ш № 3</t>
  </si>
  <si>
    <t>МБОУ СОШ №4</t>
  </si>
  <si>
    <t>МБОУ СОШ №5</t>
  </si>
  <si>
    <t>МБОУ СОШ №6</t>
  </si>
  <si>
    <t>МБОУ СОШ №8</t>
  </si>
  <si>
    <t>МБОУ СОШ № 9</t>
  </si>
  <si>
    <t>МБОУ Чапаевская СОШ</t>
  </si>
  <si>
    <t>Приложение №17</t>
  </si>
  <si>
    <t>2023 год</t>
  </si>
  <si>
    <t>2024 год</t>
  </si>
  <si>
    <t>Базовый норматив затрат на общехозяйственные нужды на оказание муниципальных услуг по присмотру и уходу в дошкольных группах  общеобразовательных учреждений, руб.</t>
  </si>
  <si>
    <t>Базовый норматив затрат на общехозяйственные нужды на оказание муниципальных услуг по реализации основных общеобразовательных программ дошкольного образования общеобразовательными учреждениями, руб.</t>
  </si>
  <si>
    <t xml:space="preserve">2023-2025 годы-расчет базового норматива затрат на общехозяйственные нужды  на оказание муниципальных услуг по присмотру и уходу в дошкольных группах общеобразовательных учреждений и по реализации основных общеобразовательных программ дошкольного образования  общеобразовательными учреждениями </t>
  </si>
  <si>
    <t>2025 год</t>
  </si>
  <si>
    <t>Приложение №15</t>
  </si>
  <si>
    <t>Приложение №16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</si>
</sst>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\ &quot;₽&quot;_-;\-* #,##0.0\ &quot;₽&quot;_-;_-* &quot;-&quot;?\ &quot;₽&quot;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00"/>
    <numFmt numFmtId="181" formatCode="#,##0.000"/>
    <numFmt numFmtId="182" formatCode="#,##0.0000"/>
    <numFmt numFmtId="183" formatCode="#,##0.000000"/>
    <numFmt numFmtId="184" formatCode="#,##0.00&quot;р.&quot;"/>
  </numFmts>
  <fonts count="42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1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4"/>
      <color indexed="30"/>
      <name val="Times New Roman"/>
      <family val="1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0" xfId="0" applyFill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" fontId="0" fillId="1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2" fontId="2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wrapText="1"/>
    </xf>
    <xf numFmtId="172" fontId="0" fillId="0" borderId="10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172" fontId="39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72" fontId="0" fillId="0" borderId="14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1" fillId="33" borderId="0" xfId="0" applyFont="1" applyFill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172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31" fillId="33" borderId="0" xfId="0" applyFont="1" applyFill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33" borderId="0" xfId="0" applyFont="1" applyFill="1" applyAlignment="1">
      <alignment vertical="center" wrapText="1"/>
    </xf>
    <xf numFmtId="0" fontId="31" fillId="33" borderId="18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49"/>
  <sheetViews>
    <sheetView view="pageBreakPreview" zoomScale="80" zoomScaleNormal="7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5" sqref="AM5"/>
    </sheetView>
  </sheetViews>
  <sheetFormatPr defaultColWidth="8.88671875" defaultRowHeight="18.75"/>
  <cols>
    <col min="1" max="1" width="8.88671875" style="4" customWidth="1"/>
    <col min="2" max="2" width="32.88671875" style="4" customWidth="1"/>
    <col min="3" max="3" width="9.88671875" style="4" bestFit="1" customWidth="1"/>
    <col min="4" max="4" width="10.77734375" style="4" customWidth="1"/>
    <col min="5" max="5" width="8.88671875" style="4" customWidth="1"/>
    <col min="6" max="6" width="9.88671875" style="4" customWidth="1"/>
    <col min="7" max="8" width="8.99609375" style="4" customWidth="1"/>
    <col min="9" max="9" width="9.88671875" style="4" customWidth="1"/>
    <col min="10" max="10" width="8.99609375" style="4" customWidth="1"/>
    <col min="11" max="11" width="13.10546875" style="4" customWidth="1"/>
    <col min="12" max="31" width="8.99609375" style="4" customWidth="1"/>
    <col min="32" max="32" width="10.4453125" style="4" customWidth="1"/>
    <col min="33" max="41" width="8.99609375" style="4" customWidth="1"/>
    <col min="42" max="42" width="15.4453125" style="4" customWidth="1"/>
    <col min="43" max="43" width="20.3359375" style="4" customWidth="1"/>
    <col min="44" max="44" width="23.10546875" style="4" customWidth="1"/>
    <col min="45" max="45" width="21.3359375" style="4" customWidth="1"/>
    <col min="46" max="46" width="16.6640625" style="4" customWidth="1"/>
    <col min="47" max="47" width="22.10546875" style="4" customWidth="1"/>
    <col min="48" max="48" width="16.6640625" style="4" customWidth="1"/>
    <col min="49" max="49" width="37.5546875" style="4" customWidth="1"/>
    <col min="50" max="16384" width="8.88671875" style="4" customWidth="1"/>
  </cols>
  <sheetData>
    <row r="1" spans="14:50" s="18" customFormat="1" ht="18.75">
      <c r="N1" s="58" t="s">
        <v>42</v>
      </c>
      <c r="O1" s="58"/>
      <c r="P1" s="58"/>
      <c r="Q1" s="58"/>
      <c r="R1" s="58"/>
      <c r="AV1" s="19"/>
      <c r="AW1" s="42"/>
      <c r="AX1" s="19"/>
    </row>
    <row r="2" spans="3:50" s="18" customFormat="1" ht="57" customHeight="1">
      <c r="C2" s="59" t="s">
        <v>43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0"/>
      <c r="AV2" s="19"/>
      <c r="AW2" s="19"/>
      <c r="AX2" s="19"/>
    </row>
    <row r="3" spans="48:50" s="18" customFormat="1" ht="23.25" customHeight="1">
      <c r="AV3" s="19"/>
      <c r="AW3" s="19"/>
      <c r="AX3" s="19"/>
    </row>
    <row r="4" spans="1:49" ht="44.25" customHeight="1">
      <c r="A4" s="60" t="s">
        <v>0</v>
      </c>
      <c r="B4" s="62" t="s">
        <v>45</v>
      </c>
      <c r="C4" s="63" t="s">
        <v>44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7"/>
      <c r="AQ4" s="65" t="s">
        <v>41</v>
      </c>
      <c r="AR4" s="65" t="s">
        <v>48</v>
      </c>
      <c r="AS4" s="65" t="s">
        <v>49</v>
      </c>
      <c r="AT4" s="65" t="s">
        <v>50</v>
      </c>
      <c r="AU4" s="65" t="s">
        <v>51</v>
      </c>
      <c r="AV4" s="57" t="s">
        <v>52</v>
      </c>
      <c r="AW4" s="57" t="s">
        <v>53</v>
      </c>
    </row>
    <row r="5" spans="1:49" s="15" customFormat="1" ht="90.75" customHeight="1">
      <c r="A5" s="61"/>
      <c r="B5" s="62"/>
      <c r="C5" s="14" t="s">
        <v>2</v>
      </c>
      <c r="D5" s="14" t="s">
        <v>12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  <c r="AF5" s="14" t="s">
        <v>30</v>
      </c>
      <c r="AG5" s="14" t="s">
        <v>31</v>
      </c>
      <c r="AH5" s="14" t="s">
        <v>32</v>
      </c>
      <c r="AI5" s="14" t="s">
        <v>33</v>
      </c>
      <c r="AJ5" s="14" t="s">
        <v>34</v>
      </c>
      <c r="AK5" s="14" t="s">
        <v>35</v>
      </c>
      <c r="AL5" s="14" t="s">
        <v>36</v>
      </c>
      <c r="AM5" s="14" t="s">
        <v>37</v>
      </c>
      <c r="AN5" s="14" t="s">
        <v>38</v>
      </c>
      <c r="AO5" s="14" t="s">
        <v>39</v>
      </c>
      <c r="AP5" s="14" t="s">
        <v>40</v>
      </c>
      <c r="AQ5" s="66"/>
      <c r="AR5" s="66"/>
      <c r="AS5" s="66"/>
      <c r="AT5" s="66"/>
      <c r="AU5" s="66"/>
      <c r="AV5" s="57"/>
      <c r="AW5" s="57"/>
    </row>
    <row r="6" spans="1:47" ht="16.5" customHeight="1">
      <c r="A6" s="6"/>
      <c r="B6" s="6"/>
      <c r="C6" s="8"/>
      <c r="D6" s="8"/>
      <c r="E6" s="9"/>
      <c r="F6" s="9"/>
      <c r="G6" s="9"/>
      <c r="H6" s="9"/>
      <c r="I6" s="9"/>
      <c r="J6" s="9"/>
      <c r="K6" s="67"/>
      <c r="L6" s="68"/>
      <c r="M6" s="26"/>
      <c r="N6" s="67"/>
      <c r="O6" s="70"/>
      <c r="P6" s="70"/>
      <c r="Q6" s="70"/>
      <c r="R6" s="68"/>
      <c r="S6" s="9"/>
      <c r="T6" s="9"/>
      <c r="U6" s="67"/>
      <c r="V6" s="70"/>
      <c r="W6" s="70"/>
      <c r="X6" s="70"/>
      <c r="Y6" s="68"/>
      <c r="Z6" s="9"/>
      <c r="AA6" s="9"/>
      <c r="AB6" s="25"/>
      <c r="AC6" s="67"/>
      <c r="AD6" s="70"/>
      <c r="AE6" s="70"/>
      <c r="AF6" s="70"/>
      <c r="AG6" s="70"/>
      <c r="AH6" s="68"/>
      <c r="AI6" s="67"/>
      <c r="AJ6" s="70"/>
      <c r="AK6" s="70"/>
      <c r="AL6" s="68"/>
      <c r="AM6" s="9"/>
      <c r="AN6" s="67"/>
      <c r="AO6" s="68"/>
      <c r="AP6" s="9"/>
      <c r="AQ6" s="6"/>
      <c r="AU6" s="34"/>
    </row>
    <row r="7" spans="1:49" ht="18.75">
      <c r="A7" s="8">
        <v>1</v>
      </c>
      <c r="B7" s="6" t="s">
        <v>87</v>
      </c>
      <c r="C7" s="21">
        <v>974.6</v>
      </c>
      <c r="D7" s="21">
        <v>295.1</v>
      </c>
      <c r="E7" s="21">
        <v>6</v>
      </c>
      <c r="F7" s="22">
        <v>1900</v>
      </c>
      <c r="G7" s="22"/>
      <c r="H7" s="22"/>
      <c r="I7" s="22">
        <v>550</v>
      </c>
      <c r="J7" s="22">
        <v>200</v>
      </c>
      <c r="K7" s="22">
        <v>141.4</v>
      </c>
      <c r="L7" s="22">
        <v>41.2</v>
      </c>
      <c r="M7" s="21">
        <v>10</v>
      </c>
      <c r="N7" s="21"/>
      <c r="O7" s="21">
        <v>12.8</v>
      </c>
      <c r="P7" s="21">
        <v>0.4</v>
      </c>
      <c r="Q7" s="21"/>
      <c r="R7" s="21">
        <v>43.2</v>
      </c>
      <c r="S7" s="21">
        <v>12</v>
      </c>
      <c r="T7" s="21">
        <v>14.8</v>
      </c>
      <c r="U7" s="21">
        <f>1.7+8</f>
        <v>9.7</v>
      </c>
      <c r="V7" s="21">
        <v>7</v>
      </c>
      <c r="W7" s="21">
        <v>7.4</v>
      </c>
      <c r="X7" s="21">
        <v>12</v>
      </c>
      <c r="Y7" s="21"/>
      <c r="Z7" s="21">
        <v>5.3</v>
      </c>
      <c r="AA7" s="21">
        <v>17</v>
      </c>
      <c r="AB7" s="21">
        <v>6.4</v>
      </c>
      <c r="AC7" s="21">
        <v>0</v>
      </c>
      <c r="AD7" s="21">
        <v>32.3</v>
      </c>
      <c r="AE7" s="21"/>
      <c r="AF7" s="21">
        <v>6</v>
      </c>
      <c r="AG7" s="21">
        <v>71</v>
      </c>
      <c r="AH7" s="21"/>
      <c r="AI7" s="21">
        <v>141.2</v>
      </c>
      <c r="AJ7" s="21">
        <v>0.3</v>
      </c>
      <c r="AK7" s="21">
        <v>154.3</v>
      </c>
      <c r="AL7" s="21"/>
      <c r="AM7" s="21">
        <v>9</v>
      </c>
      <c r="AN7" s="21"/>
      <c r="AO7" s="21"/>
      <c r="AP7" s="21"/>
      <c r="AQ7" s="21">
        <f aca="true" t="shared" si="0" ref="AQ7:AQ43">SUM(C7:AP7)</f>
        <v>4680.4</v>
      </c>
      <c r="AR7" s="21">
        <f aca="true" t="shared" si="1" ref="AR7:AR43">AQ7-AH7-AI7-AK7-AL7</f>
        <v>4384.9</v>
      </c>
      <c r="AS7" s="8">
        <f>340+1+403+8+81</f>
        <v>833</v>
      </c>
      <c r="AT7" s="6"/>
      <c r="AU7" s="32">
        <f aca="true" t="shared" si="2" ref="AU7:AU43">ROUND(AR7*1000/(AS7+AT7),0)</f>
        <v>5264</v>
      </c>
      <c r="AV7" s="6"/>
      <c r="AW7" s="32">
        <v>20162</v>
      </c>
    </row>
    <row r="8" spans="1:49" ht="18.75">
      <c r="A8" s="8">
        <v>2</v>
      </c>
      <c r="B8" s="6" t="s">
        <v>86</v>
      </c>
      <c r="C8" s="21">
        <v>974.6</v>
      </c>
      <c r="D8" s="21">
        <v>295.1</v>
      </c>
      <c r="E8" s="21">
        <v>6</v>
      </c>
      <c r="F8" s="22">
        <v>1600</v>
      </c>
      <c r="G8" s="22"/>
      <c r="H8" s="22"/>
      <c r="I8" s="22">
        <v>460</v>
      </c>
      <c r="J8" s="22">
        <v>180</v>
      </c>
      <c r="K8" s="22"/>
      <c r="L8" s="22">
        <v>34</v>
      </c>
      <c r="M8" s="21">
        <v>10</v>
      </c>
      <c r="N8" s="21">
        <v>2.9</v>
      </c>
      <c r="O8" s="21">
        <v>12.8</v>
      </c>
      <c r="P8" s="21">
        <v>1.3</v>
      </c>
      <c r="Q8" s="21"/>
      <c r="R8" s="21">
        <v>43.2</v>
      </c>
      <c r="S8" s="21">
        <v>12</v>
      </c>
      <c r="T8" s="21">
        <v>14.8</v>
      </c>
      <c r="U8" s="21">
        <f>1.7+8</f>
        <v>9.7</v>
      </c>
      <c r="V8" s="21">
        <v>6</v>
      </c>
      <c r="W8" s="21">
        <v>7.5</v>
      </c>
      <c r="X8" s="21">
        <v>12</v>
      </c>
      <c r="Y8" s="21"/>
      <c r="Z8" s="21">
        <v>6</v>
      </c>
      <c r="AA8" s="21">
        <v>17</v>
      </c>
      <c r="AB8" s="21">
        <v>6.4</v>
      </c>
      <c r="AC8" s="21">
        <v>2</v>
      </c>
      <c r="AD8" s="21">
        <v>44.3</v>
      </c>
      <c r="AE8" s="21"/>
      <c r="AF8" s="21">
        <v>6</v>
      </c>
      <c r="AG8" s="21">
        <v>83</v>
      </c>
      <c r="AH8" s="21"/>
      <c r="AI8" s="21">
        <v>61.2</v>
      </c>
      <c r="AJ8" s="21">
        <v>0.3</v>
      </c>
      <c r="AK8" s="21">
        <v>269.4</v>
      </c>
      <c r="AL8" s="21">
        <v>3.1</v>
      </c>
      <c r="AM8" s="21"/>
      <c r="AN8" s="21"/>
      <c r="AO8" s="21"/>
      <c r="AP8" s="21"/>
      <c r="AQ8" s="21">
        <f t="shared" si="0"/>
        <v>4180.6</v>
      </c>
      <c r="AR8" s="21">
        <f t="shared" si="1"/>
        <v>3846.9000000000005</v>
      </c>
      <c r="AS8" s="8">
        <f>270+8+347+9+2+1+40</f>
        <v>677</v>
      </c>
      <c r="AT8" s="6"/>
      <c r="AU8" s="32">
        <f t="shared" si="2"/>
        <v>5682</v>
      </c>
      <c r="AV8" s="6"/>
      <c r="AW8" s="32">
        <v>20162</v>
      </c>
    </row>
    <row r="9" spans="1:49" ht="18.75">
      <c r="A9" s="8">
        <v>3</v>
      </c>
      <c r="B9" s="6" t="s">
        <v>84</v>
      </c>
      <c r="C9" s="21">
        <v>979.9</v>
      </c>
      <c r="D9" s="21">
        <v>296.7</v>
      </c>
      <c r="E9" s="21">
        <v>6</v>
      </c>
      <c r="F9" s="22">
        <v>1200</v>
      </c>
      <c r="G9" s="22"/>
      <c r="H9" s="22"/>
      <c r="I9" s="22">
        <v>450</v>
      </c>
      <c r="J9" s="22">
        <v>100</v>
      </c>
      <c r="K9" s="22"/>
      <c r="L9" s="22">
        <v>25.2</v>
      </c>
      <c r="M9" s="21">
        <v>10</v>
      </c>
      <c r="N9" s="21">
        <v>1.7</v>
      </c>
      <c r="O9" s="21">
        <v>12.8</v>
      </c>
      <c r="P9" s="21">
        <v>0.4</v>
      </c>
      <c r="Q9" s="21"/>
      <c r="R9" s="21">
        <v>43.2</v>
      </c>
      <c r="S9" s="21">
        <v>12</v>
      </c>
      <c r="T9" s="21">
        <v>14.8</v>
      </c>
      <c r="U9" s="21">
        <f>1.7+8</f>
        <v>9.7</v>
      </c>
      <c r="V9" s="21">
        <v>2.5</v>
      </c>
      <c r="W9" s="21">
        <v>6.3</v>
      </c>
      <c r="X9" s="21">
        <v>12</v>
      </c>
      <c r="Y9" s="21"/>
      <c r="Z9" s="21">
        <v>3.1</v>
      </c>
      <c r="AA9" s="21">
        <v>19.9</v>
      </c>
      <c r="AB9" s="21">
        <v>6.4</v>
      </c>
      <c r="AC9" s="21">
        <v>1.8</v>
      </c>
      <c r="AD9" s="21">
        <v>31.1</v>
      </c>
      <c r="AE9" s="21"/>
      <c r="AF9" s="21">
        <v>6</v>
      </c>
      <c r="AG9" s="21">
        <v>66</v>
      </c>
      <c r="AH9" s="21"/>
      <c r="AI9" s="21">
        <v>68.2</v>
      </c>
      <c r="AJ9" s="21">
        <v>0.3</v>
      </c>
      <c r="AK9" s="21">
        <v>174.8</v>
      </c>
      <c r="AL9" s="21"/>
      <c r="AM9" s="21"/>
      <c r="AN9" s="21"/>
      <c r="AO9" s="21"/>
      <c r="AP9" s="21"/>
      <c r="AQ9" s="21">
        <f t="shared" si="0"/>
        <v>3560.8</v>
      </c>
      <c r="AR9" s="21">
        <f t="shared" si="1"/>
        <v>3317.8</v>
      </c>
      <c r="AS9" s="8">
        <f>206+6+329+6+30</f>
        <v>577</v>
      </c>
      <c r="AT9" s="6"/>
      <c r="AU9" s="32">
        <f t="shared" si="2"/>
        <v>5750</v>
      </c>
      <c r="AV9" s="6"/>
      <c r="AW9" s="32">
        <v>20162</v>
      </c>
    </row>
    <row r="10" spans="1:49" ht="18.75">
      <c r="A10" s="8">
        <v>4</v>
      </c>
      <c r="B10" s="6" t="s">
        <v>82</v>
      </c>
      <c r="C10" s="21">
        <v>976.7</v>
      </c>
      <c r="D10" s="21">
        <v>295.8</v>
      </c>
      <c r="E10" s="21">
        <v>6</v>
      </c>
      <c r="F10" s="22">
        <f>2673.5-16.2</f>
        <v>2657.3</v>
      </c>
      <c r="G10" s="22"/>
      <c r="H10" s="22"/>
      <c r="I10" s="22">
        <v>580</v>
      </c>
      <c r="J10" s="22">
        <v>200</v>
      </c>
      <c r="K10" s="22">
        <v>10</v>
      </c>
      <c r="L10" s="22">
        <v>44.1</v>
      </c>
      <c r="M10" s="21">
        <f>4.1+12.4</f>
        <v>16.5</v>
      </c>
      <c r="N10" s="21"/>
      <c r="O10" s="21">
        <v>16</v>
      </c>
      <c r="P10" s="21">
        <v>0.4</v>
      </c>
      <c r="Q10" s="21"/>
      <c r="R10" s="21">
        <v>43.2</v>
      </c>
      <c r="S10" s="21">
        <v>12</v>
      </c>
      <c r="T10" s="21">
        <v>14.8</v>
      </c>
      <c r="U10" s="21">
        <f>1.7+10.3</f>
        <v>12</v>
      </c>
      <c r="V10" s="21">
        <v>10</v>
      </c>
      <c r="W10" s="21">
        <v>6</v>
      </c>
      <c r="X10" s="21">
        <v>12</v>
      </c>
      <c r="Y10" s="21"/>
      <c r="Z10" s="21">
        <f>4.1+1.1</f>
        <v>5.199999999999999</v>
      </c>
      <c r="AA10" s="21">
        <v>17.9</v>
      </c>
      <c r="AB10" s="21">
        <v>6.4</v>
      </c>
      <c r="AC10" s="21">
        <v>10</v>
      </c>
      <c r="AD10" s="21">
        <v>45.3</v>
      </c>
      <c r="AE10" s="21"/>
      <c r="AF10" s="21">
        <v>6</v>
      </c>
      <c r="AG10" s="21">
        <v>98</v>
      </c>
      <c r="AH10" s="21"/>
      <c r="AI10" s="21">
        <v>40.9</v>
      </c>
      <c r="AJ10" s="21">
        <v>0.3</v>
      </c>
      <c r="AK10" s="21">
        <v>74.7</v>
      </c>
      <c r="AL10" s="21"/>
      <c r="AM10" s="21">
        <v>4.8</v>
      </c>
      <c r="AN10" s="21"/>
      <c r="AO10" s="21"/>
      <c r="AP10" s="21"/>
      <c r="AQ10" s="21">
        <f t="shared" si="0"/>
        <v>5222.299999999999</v>
      </c>
      <c r="AR10" s="21">
        <f t="shared" si="1"/>
        <v>5106.7</v>
      </c>
      <c r="AS10" s="8">
        <f>328+8+2+405+5+3+1+48</f>
        <v>800</v>
      </c>
      <c r="AT10" s="6"/>
      <c r="AU10" s="32">
        <f t="shared" si="2"/>
        <v>6383</v>
      </c>
      <c r="AV10" s="6"/>
      <c r="AW10" s="32">
        <v>20162</v>
      </c>
    </row>
    <row r="11" spans="1:49" ht="18.75">
      <c r="A11" s="8">
        <v>5</v>
      </c>
      <c r="B11" s="6" t="s">
        <v>88</v>
      </c>
      <c r="C11" s="21">
        <v>1154.2</v>
      </c>
      <c r="D11" s="21">
        <v>349.4</v>
      </c>
      <c r="E11" s="21">
        <v>6</v>
      </c>
      <c r="F11" s="22">
        <v>1900</v>
      </c>
      <c r="G11" s="22"/>
      <c r="H11" s="22"/>
      <c r="I11" s="22">
        <v>800</v>
      </c>
      <c r="J11" s="22">
        <v>220</v>
      </c>
      <c r="K11" s="22">
        <v>10</v>
      </c>
      <c r="L11" s="22">
        <v>36.5</v>
      </c>
      <c r="M11" s="21">
        <v>18.6</v>
      </c>
      <c r="N11" s="21"/>
      <c r="O11" s="21">
        <v>12.8</v>
      </c>
      <c r="P11" s="21">
        <v>0.4</v>
      </c>
      <c r="Q11" s="21"/>
      <c r="R11" s="21">
        <v>43.2</v>
      </c>
      <c r="S11" s="21">
        <v>14.4</v>
      </c>
      <c r="T11" s="21">
        <v>29.6</v>
      </c>
      <c r="U11" s="21">
        <f>3.3+16+27</f>
        <v>46.3</v>
      </c>
      <c r="V11" s="21">
        <v>6.5</v>
      </c>
      <c r="W11" s="21">
        <v>8</v>
      </c>
      <c r="X11" s="21">
        <v>12</v>
      </c>
      <c r="Y11" s="21"/>
      <c r="Z11" s="21">
        <v>2.9</v>
      </c>
      <c r="AA11" s="21">
        <f>17+33.9+1.4</f>
        <v>52.3</v>
      </c>
      <c r="AB11" s="21">
        <v>6.4</v>
      </c>
      <c r="AC11" s="21">
        <v>0.9</v>
      </c>
      <c r="AD11" s="21">
        <v>37.8</v>
      </c>
      <c r="AE11" s="21"/>
      <c r="AF11" s="21">
        <v>6</v>
      </c>
      <c r="AG11" s="21">
        <v>63</v>
      </c>
      <c r="AH11" s="21"/>
      <c r="AI11" s="21">
        <f>257-3</f>
        <v>254</v>
      </c>
      <c r="AJ11" s="21">
        <v>0.3</v>
      </c>
      <c r="AK11" s="21">
        <v>316.2</v>
      </c>
      <c r="AL11" s="21">
        <v>8.3</v>
      </c>
      <c r="AM11" s="21">
        <v>18</v>
      </c>
      <c r="AN11" s="21"/>
      <c r="AO11" s="21"/>
      <c r="AP11" s="21">
        <v>10</v>
      </c>
      <c r="AQ11" s="21">
        <f t="shared" si="0"/>
        <v>5444</v>
      </c>
      <c r="AR11" s="21">
        <f t="shared" si="1"/>
        <v>4865.5</v>
      </c>
      <c r="AS11" s="8">
        <f>341+6+355+3+28</f>
        <v>733</v>
      </c>
      <c r="AT11" s="6"/>
      <c r="AU11" s="32">
        <f t="shared" si="2"/>
        <v>6638</v>
      </c>
      <c r="AV11" s="6"/>
      <c r="AW11" s="32">
        <v>20162</v>
      </c>
    </row>
    <row r="12" spans="1:49" ht="18.75">
      <c r="A12" s="8">
        <v>6</v>
      </c>
      <c r="B12" s="6" t="s">
        <v>76</v>
      </c>
      <c r="C12" s="21">
        <v>794.9</v>
      </c>
      <c r="D12" s="21">
        <v>240.9</v>
      </c>
      <c r="E12" s="21">
        <v>6</v>
      </c>
      <c r="F12" s="22">
        <v>1300</v>
      </c>
      <c r="G12" s="22"/>
      <c r="H12" s="22"/>
      <c r="I12" s="22">
        <v>550</v>
      </c>
      <c r="J12" s="22">
        <v>138.9</v>
      </c>
      <c r="K12" s="35"/>
      <c r="L12" s="22">
        <v>29.4</v>
      </c>
      <c r="M12" s="21">
        <v>10</v>
      </c>
      <c r="N12" s="21">
        <v>6.8</v>
      </c>
      <c r="O12" s="21">
        <v>12.8</v>
      </c>
      <c r="P12" s="21">
        <v>0.4</v>
      </c>
      <c r="Q12" s="21"/>
      <c r="R12" s="21">
        <v>43.2</v>
      </c>
      <c r="S12" s="21">
        <v>14.4</v>
      </c>
      <c r="T12" s="21">
        <v>14.8</v>
      </c>
      <c r="U12" s="21">
        <f>1.7+8</f>
        <v>9.7</v>
      </c>
      <c r="V12" s="21">
        <v>5.9</v>
      </c>
      <c r="W12" s="21">
        <v>6</v>
      </c>
      <c r="X12" s="21">
        <v>12</v>
      </c>
      <c r="Y12" s="21"/>
      <c r="Z12" s="21">
        <v>4.4</v>
      </c>
      <c r="AA12" s="21">
        <v>12.4</v>
      </c>
      <c r="AB12" s="21">
        <v>6.4</v>
      </c>
      <c r="AC12" s="21">
        <v>3.2</v>
      </c>
      <c r="AD12" s="21">
        <v>31.5</v>
      </c>
      <c r="AE12" s="21"/>
      <c r="AF12" s="21">
        <v>6</v>
      </c>
      <c r="AG12" s="21">
        <v>78</v>
      </c>
      <c r="AH12" s="21"/>
      <c r="AI12" s="21">
        <f>315.6-2</f>
        <v>313.6</v>
      </c>
      <c r="AJ12" s="21">
        <v>0.3</v>
      </c>
      <c r="AK12" s="21">
        <v>107.9</v>
      </c>
      <c r="AL12" s="21">
        <v>3.1</v>
      </c>
      <c r="AM12" s="21">
        <v>3.6</v>
      </c>
      <c r="AN12" s="21"/>
      <c r="AO12" s="21"/>
      <c r="AP12" s="21"/>
      <c r="AQ12" s="21">
        <f t="shared" si="0"/>
        <v>3766.500000000001</v>
      </c>
      <c r="AR12" s="21">
        <f t="shared" si="1"/>
        <v>3341.900000000001</v>
      </c>
      <c r="AS12" s="8">
        <f>156+14+236+7+1+28</f>
        <v>442</v>
      </c>
      <c r="AT12" s="6"/>
      <c r="AU12" s="32">
        <f t="shared" si="2"/>
        <v>7561</v>
      </c>
      <c r="AV12" s="6"/>
      <c r="AW12" s="32">
        <v>20162</v>
      </c>
    </row>
    <row r="13" spans="1:49" ht="18.75">
      <c r="A13" s="8">
        <v>7</v>
      </c>
      <c r="B13" s="6" t="s">
        <v>79</v>
      </c>
      <c r="C13" s="21">
        <v>1154.2</v>
      </c>
      <c r="D13" s="21">
        <v>349.4</v>
      </c>
      <c r="E13" s="21">
        <v>6</v>
      </c>
      <c r="F13" s="22">
        <v>1900</v>
      </c>
      <c r="G13" s="22"/>
      <c r="H13" s="22">
        <v>150</v>
      </c>
      <c r="I13" s="22">
        <v>550</v>
      </c>
      <c r="J13" s="22">
        <v>150</v>
      </c>
      <c r="K13" s="22">
        <v>15</v>
      </c>
      <c r="L13" s="22">
        <v>32.3</v>
      </c>
      <c r="M13" s="21">
        <v>12</v>
      </c>
      <c r="N13" s="21">
        <v>21.6</v>
      </c>
      <c r="O13" s="21">
        <v>12.8</v>
      </c>
      <c r="P13" s="21">
        <v>0.4</v>
      </c>
      <c r="Q13" s="21">
        <v>124</v>
      </c>
      <c r="R13" s="21">
        <v>43.2</v>
      </c>
      <c r="S13" s="21">
        <v>12</v>
      </c>
      <c r="T13" s="21">
        <v>14.8</v>
      </c>
      <c r="U13" s="21">
        <f>3.3+16+26.4+32.7</f>
        <v>78.4</v>
      </c>
      <c r="V13" s="21">
        <v>5.3</v>
      </c>
      <c r="W13" s="21">
        <v>7.4</v>
      </c>
      <c r="X13" s="21">
        <v>12</v>
      </c>
      <c r="Y13" s="21"/>
      <c r="Z13" s="21">
        <v>6.4</v>
      </c>
      <c r="AA13" s="21">
        <v>9.8</v>
      </c>
      <c r="AB13" s="21">
        <v>3.2</v>
      </c>
      <c r="AC13" s="21">
        <v>2.7</v>
      </c>
      <c r="AD13" s="21">
        <v>36.4</v>
      </c>
      <c r="AE13" s="21"/>
      <c r="AF13" s="21">
        <v>6</v>
      </c>
      <c r="AG13" s="21">
        <v>1</v>
      </c>
      <c r="AH13" s="21"/>
      <c r="AI13" s="21">
        <v>0.3</v>
      </c>
      <c r="AJ13" s="21">
        <v>0.3</v>
      </c>
      <c r="AK13" s="21">
        <v>38.9</v>
      </c>
      <c r="AL13" s="21">
        <v>10.2</v>
      </c>
      <c r="AM13" s="21"/>
      <c r="AN13" s="21"/>
      <c r="AO13" s="21"/>
      <c r="AP13" s="21"/>
      <c r="AQ13" s="21">
        <f t="shared" si="0"/>
        <v>4765.999999999999</v>
      </c>
      <c r="AR13" s="21">
        <f t="shared" si="1"/>
        <v>4716.599999999999</v>
      </c>
      <c r="AS13" s="8">
        <f>250+4+337+4+1+2+14</f>
        <v>612</v>
      </c>
      <c r="AT13" s="6"/>
      <c r="AU13" s="32">
        <f t="shared" si="2"/>
        <v>7707</v>
      </c>
      <c r="AV13" s="6"/>
      <c r="AW13" s="32">
        <v>20162</v>
      </c>
    </row>
    <row r="14" spans="1:49" ht="18.75">
      <c r="A14" s="8">
        <v>8</v>
      </c>
      <c r="B14" s="6" t="s">
        <v>83</v>
      </c>
      <c r="C14" s="21">
        <v>2290.4</v>
      </c>
      <c r="D14" s="21">
        <v>692.5</v>
      </c>
      <c r="E14" s="21">
        <v>6</v>
      </c>
      <c r="F14" s="22">
        <v>1600</v>
      </c>
      <c r="G14" s="22"/>
      <c r="H14" s="22"/>
      <c r="I14" s="22">
        <v>550</v>
      </c>
      <c r="J14" s="22">
        <v>150</v>
      </c>
      <c r="K14" s="22"/>
      <c r="L14" s="22">
        <v>37.8</v>
      </c>
      <c r="M14" s="21">
        <v>10</v>
      </c>
      <c r="N14" s="21"/>
      <c r="O14" s="21">
        <v>21</v>
      </c>
      <c r="P14" s="21">
        <v>0.9</v>
      </c>
      <c r="Q14" s="21">
        <v>19.3</v>
      </c>
      <c r="R14" s="21">
        <v>43.2</v>
      </c>
      <c r="S14" s="21">
        <v>14.4</v>
      </c>
      <c r="T14" s="21">
        <v>29.6</v>
      </c>
      <c r="U14" s="21">
        <f>6.7+32</f>
        <v>38.7</v>
      </c>
      <c r="V14" s="21">
        <v>7.5</v>
      </c>
      <c r="W14" s="21">
        <v>11.6</v>
      </c>
      <c r="X14" s="21">
        <v>12</v>
      </c>
      <c r="Y14" s="21"/>
      <c r="Z14" s="21">
        <v>4.7</v>
      </c>
      <c r="AA14" s="21">
        <v>21.8</v>
      </c>
      <c r="AB14" s="21">
        <v>3.2</v>
      </c>
      <c r="AC14" s="21">
        <v>0</v>
      </c>
      <c r="AD14" s="21">
        <v>44.8</v>
      </c>
      <c r="AE14" s="21"/>
      <c r="AF14" s="21">
        <v>6</v>
      </c>
      <c r="AG14" s="21">
        <v>51</v>
      </c>
      <c r="AH14" s="21"/>
      <c r="AI14" s="21">
        <v>62</v>
      </c>
      <c r="AJ14" s="21">
        <v>0.3</v>
      </c>
      <c r="AK14" s="21">
        <v>147.6</v>
      </c>
      <c r="AL14" s="21"/>
      <c r="AM14" s="21">
        <v>3.6</v>
      </c>
      <c r="AN14" s="21"/>
      <c r="AO14" s="21"/>
      <c r="AP14" s="21"/>
      <c r="AQ14" s="21">
        <f t="shared" si="0"/>
        <v>5879.900000000001</v>
      </c>
      <c r="AR14" s="21">
        <f t="shared" si="1"/>
        <v>5670.3</v>
      </c>
      <c r="AS14" s="8">
        <f>286+2+3+323+4+6+16+49+1</f>
        <v>690</v>
      </c>
      <c r="AT14" s="6"/>
      <c r="AU14" s="32">
        <f t="shared" si="2"/>
        <v>8218</v>
      </c>
      <c r="AV14" s="6"/>
      <c r="AW14" s="32">
        <v>20162</v>
      </c>
    </row>
    <row r="15" spans="1:49" ht="18.75">
      <c r="A15" s="8">
        <v>9</v>
      </c>
      <c r="B15" s="6" t="s">
        <v>75</v>
      </c>
      <c r="C15" s="21">
        <v>1148.3</v>
      </c>
      <c r="D15" s="21">
        <v>347.5</v>
      </c>
      <c r="E15" s="21">
        <v>6</v>
      </c>
      <c r="F15" s="22"/>
      <c r="G15" s="22">
        <v>218.5</v>
      </c>
      <c r="H15" s="22">
        <v>25</v>
      </c>
      <c r="I15" s="22">
        <v>130</v>
      </c>
      <c r="J15" s="22">
        <v>40</v>
      </c>
      <c r="K15" s="22">
        <v>5</v>
      </c>
      <c r="L15" s="22">
        <v>6.3</v>
      </c>
      <c r="M15" s="21">
        <v>6.8</v>
      </c>
      <c r="N15" s="21">
        <v>5.4</v>
      </c>
      <c r="O15" s="21">
        <v>12.8</v>
      </c>
      <c r="P15" s="21">
        <v>1.3</v>
      </c>
      <c r="Q15" s="21"/>
      <c r="R15" s="21">
        <v>43.2</v>
      </c>
      <c r="S15" s="21">
        <v>13.2</v>
      </c>
      <c r="T15" s="21">
        <v>14.8</v>
      </c>
      <c r="U15" s="21">
        <v>8</v>
      </c>
      <c r="V15" s="21">
        <v>3.2</v>
      </c>
      <c r="W15" s="21">
        <v>5</v>
      </c>
      <c r="X15" s="21">
        <v>12</v>
      </c>
      <c r="Y15" s="21">
        <v>8.6</v>
      </c>
      <c r="Z15" s="21">
        <v>2.4</v>
      </c>
      <c r="AA15" s="21">
        <v>11.4</v>
      </c>
      <c r="AB15" s="21">
        <v>6.4</v>
      </c>
      <c r="AC15" s="21">
        <v>0.5</v>
      </c>
      <c r="AD15" s="21">
        <v>25.1</v>
      </c>
      <c r="AE15" s="21"/>
      <c r="AF15" s="21">
        <v>6</v>
      </c>
      <c r="AG15" s="21">
        <v>1</v>
      </c>
      <c r="AH15" s="21"/>
      <c r="AI15" s="21">
        <v>64.4</v>
      </c>
      <c r="AJ15" s="21">
        <v>0.3</v>
      </c>
      <c r="AK15" s="21">
        <v>12.9</v>
      </c>
      <c r="AL15" s="21">
        <v>2.7</v>
      </c>
      <c r="AM15" s="21"/>
      <c r="AN15" s="21"/>
      <c r="AO15" s="21"/>
      <c r="AP15" s="21"/>
      <c r="AQ15" s="21">
        <f t="shared" si="0"/>
        <v>2194.0000000000005</v>
      </c>
      <c r="AR15" s="21">
        <f t="shared" si="1"/>
        <v>2114.0000000000005</v>
      </c>
      <c r="AS15" s="8">
        <f>97+3+105+3+16</f>
        <v>224</v>
      </c>
      <c r="AT15" s="6"/>
      <c r="AU15" s="32">
        <f t="shared" si="2"/>
        <v>9438</v>
      </c>
      <c r="AV15" s="6"/>
      <c r="AW15" s="32">
        <v>20162</v>
      </c>
    </row>
    <row r="16" spans="1:49" ht="18.75">
      <c r="A16" s="8">
        <v>10</v>
      </c>
      <c r="B16" s="6" t="s">
        <v>85</v>
      </c>
      <c r="C16" s="21">
        <v>1028.5</v>
      </c>
      <c r="D16" s="21">
        <v>311.4</v>
      </c>
      <c r="E16" s="21">
        <v>6</v>
      </c>
      <c r="F16" s="22"/>
      <c r="G16" s="22">
        <v>573.4</v>
      </c>
      <c r="H16" s="22">
        <v>40</v>
      </c>
      <c r="I16" s="22">
        <v>700</v>
      </c>
      <c r="J16" s="22">
        <v>65</v>
      </c>
      <c r="K16" s="22">
        <v>10</v>
      </c>
      <c r="L16" s="22">
        <v>21</v>
      </c>
      <c r="M16" s="21">
        <v>14</v>
      </c>
      <c r="N16" s="21">
        <v>4.3</v>
      </c>
      <c r="O16" s="21">
        <v>12.8</v>
      </c>
      <c r="P16" s="21">
        <v>2.2</v>
      </c>
      <c r="Q16" s="21"/>
      <c r="R16" s="21">
        <v>43.2</v>
      </c>
      <c r="S16" s="21">
        <v>14.4</v>
      </c>
      <c r="T16" s="21">
        <v>14.8</v>
      </c>
      <c r="U16" s="21">
        <v>13.1</v>
      </c>
      <c r="V16" s="21">
        <v>6.5</v>
      </c>
      <c r="W16" s="21">
        <v>8.5</v>
      </c>
      <c r="X16" s="21">
        <v>12</v>
      </c>
      <c r="Y16" s="21">
        <v>799</v>
      </c>
      <c r="Z16" s="21">
        <v>4</v>
      </c>
      <c r="AA16" s="21">
        <v>16.1</v>
      </c>
      <c r="AB16" s="21">
        <v>6.4</v>
      </c>
      <c r="AC16" s="21">
        <v>2</v>
      </c>
      <c r="AD16" s="21">
        <v>31.2</v>
      </c>
      <c r="AE16" s="21"/>
      <c r="AF16" s="21">
        <v>6</v>
      </c>
      <c r="AG16" s="21">
        <v>54</v>
      </c>
      <c r="AH16" s="21"/>
      <c r="AI16" s="21">
        <v>76.6</v>
      </c>
      <c r="AJ16" s="21">
        <v>0.3</v>
      </c>
      <c r="AK16" s="21">
        <v>129.5</v>
      </c>
      <c r="AL16" s="21">
        <v>0.6</v>
      </c>
      <c r="AM16" s="21">
        <v>18</v>
      </c>
      <c r="AN16" s="21"/>
      <c r="AO16" s="21"/>
      <c r="AP16" s="21"/>
      <c r="AQ16" s="21">
        <f t="shared" si="0"/>
        <v>4044.8</v>
      </c>
      <c r="AR16" s="21">
        <f t="shared" si="1"/>
        <v>3838.1000000000004</v>
      </c>
      <c r="AS16" s="8">
        <f>125+231+6+2+1+16</f>
        <v>381</v>
      </c>
      <c r="AT16" s="6"/>
      <c r="AU16" s="32">
        <f t="shared" si="2"/>
        <v>10074</v>
      </c>
      <c r="AV16" s="6"/>
      <c r="AW16" s="32">
        <v>20162</v>
      </c>
    </row>
    <row r="17" spans="1:49" ht="18.75">
      <c r="A17" s="8">
        <v>11</v>
      </c>
      <c r="B17" s="6" t="s">
        <v>56</v>
      </c>
      <c r="C17" s="21">
        <v>974.6</v>
      </c>
      <c r="D17" s="21">
        <v>295.1</v>
      </c>
      <c r="E17" s="21">
        <v>6</v>
      </c>
      <c r="F17" s="22">
        <v>1300</v>
      </c>
      <c r="G17" s="22"/>
      <c r="H17" s="22">
        <v>15.1</v>
      </c>
      <c r="I17" s="22">
        <v>350</v>
      </c>
      <c r="J17" s="22">
        <v>80</v>
      </c>
      <c r="K17" s="22">
        <v>5</v>
      </c>
      <c r="L17" s="22">
        <v>14.7</v>
      </c>
      <c r="M17" s="21">
        <v>10</v>
      </c>
      <c r="N17" s="21">
        <v>7.9</v>
      </c>
      <c r="O17" s="21">
        <v>12.8</v>
      </c>
      <c r="P17" s="21">
        <v>0.9</v>
      </c>
      <c r="Q17" s="21"/>
      <c r="R17" s="21">
        <v>43.2</v>
      </c>
      <c r="S17" s="21">
        <v>12</v>
      </c>
      <c r="T17" s="21">
        <v>14.8</v>
      </c>
      <c r="U17" s="21">
        <f>1.7+8</f>
        <v>9.7</v>
      </c>
      <c r="V17" s="21">
        <v>2.5</v>
      </c>
      <c r="W17" s="21">
        <v>5.5</v>
      </c>
      <c r="X17" s="21">
        <v>12</v>
      </c>
      <c r="Y17" s="21"/>
      <c r="Z17" s="21">
        <v>3.7</v>
      </c>
      <c r="AA17" s="21">
        <v>4.9</v>
      </c>
      <c r="AB17" s="21">
        <v>8</v>
      </c>
      <c r="AC17" s="21">
        <v>0.5</v>
      </c>
      <c r="AD17" s="21">
        <v>34.6</v>
      </c>
      <c r="AE17" s="21"/>
      <c r="AF17" s="21">
        <v>6</v>
      </c>
      <c r="AG17" s="21">
        <v>1</v>
      </c>
      <c r="AH17" s="21"/>
      <c r="AI17" s="21">
        <f>1417-3.8</f>
        <v>1413.2</v>
      </c>
      <c r="AJ17" s="21">
        <v>0.3</v>
      </c>
      <c r="AK17" s="21">
        <v>12.9</v>
      </c>
      <c r="AL17" s="21">
        <v>6.4</v>
      </c>
      <c r="AM17" s="21"/>
      <c r="AN17" s="21"/>
      <c r="AO17" s="21"/>
      <c r="AP17" s="21"/>
      <c r="AQ17" s="21">
        <f t="shared" si="0"/>
        <v>4663.299999999999</v>
      </c>
      <c r="AR17" s="21">
        <f t="shared" si="1"/>
        <v>3230.7999999999993</v>
      </c>
      <c r="AS17" s="8">
        <f>135+1+133+1+8</f>
        <v>278</v>
      </c>
      <c r="AT17" s="6"/>
      <c r="AU17" s="32">
        <f t="shared" si="2"/>
        <v>11622</v>
      </c>
      <c r="AV17" s="6"/>
      <c r="AW17" s="32">
        <v>20162</v>
      </c>
    </row>
    <row r="18" spans="1:49" ht="18.75">
      <c r="A18" s="8">
        <v>12</v>
      </c>
      <c r="B18" s="6" t="s">
        <v>80</v>
      </c>
      <c r="C18" s="21">
        <v>1154.2</v>
      </c>
      <c r="D18" s="21">
        <v>349.4</v>
      </c>
      <c r="E18" s="21">
        <v>6</v>
      </c>
      <c r="F18" s="22">
        <v>2400</v>
      </c>
      <c r="G18" s="22"/>
      <c r="H18" s="22">
        <v>40</v>
      </c>
      <c r="I18" s="22">
        <v>800</v>
      </c>
      <c r="J18" s="22">
        <v>150</v>
      </c>
      <c r="K18" s="22">
        <v>20</v>
      </c>
      <c r="L18" s="22">
        <v>58.8</v>
      </c>
      <c r="M18" s="21">
        <f>8.3+5.5</f>
        <v>13.8</v>
      </c>
      <c r="N18" s="21">
        <v>2.2</v>
      </c>
      <c r="O18" s="21">
        <v>12.8</v>
      </c>
      <c r="P18" s="21">
        <v>0.9</v>
      </c>
      <c r="Q18" s="21"/>
      <c r="R18" s="21">
        <v>43.2</v>
      </c>
      <c r="S18" s="21">
        <v>15.6</v>
      </c>
      <c r="T18" s="21">
        <v>14.8</v>
      </c>
      <c r="U18" s="21">
        <f>3.3+16+26.4</f>
        <v>45.7</v>
      </c>
      <c r="V18" s="21">
        <v>8.1</v>
      </c>
      <c r="W18" s="21">
        <v>7.4</v>
      </c>
      <c r="X18" s="21">
        <v>12</v>
      </c>
      <c r="Y18" s="21"/>
      <c r="Z18" s="21">
        <v>6.6</v>
      </c>
      <c r="AA18" s="21">
        <v>6</v>
      </c>
      <c r="AB18" s="21">
        <v>6.4</v>
      </c>
      <c r="AC18" s="21">
        <v>2.7</v>
      </c>
      <c r="AD18" s="21">
        <v>31</v>
      </c>
      <c r="AE18" s="21">
        <v>12</v>
      </c>
      <c r="AF18" s="21">
        <v>6</v>
      </c>
      <c r="AG18" s="21">
        <v>1</v>
      </c>
      <c r="AH18" s="21"/>
      <c r="AI18" s="21">
        <f>268-3</f>
        <v>265</v>
      </c>
      <c r="AJ18" s="21">
        <v>0.3</v>
      </c>
      <c r="AK18" s="21">
        <v>34.3</v>
      </c>
      <c r="AL18" s="21">
        <v>2.5</v>
      </c>
      <c r="AM18" s="21">
        <v>23.4</v>
      </c>
      <c r="AN18" s="21"/>
      <c r="AO18" s="21"/>
      <c r="AP18" s="21"/>
      <c r="AQ18" s="21">
        <f t="shared" si="0"/>
        <v>5552.1</v>
      </c>
      <c r="AR18" s="21">
        <f t="shared" si="1"/>
        <v>5250.3</v>
      </c>
      <c r="AS18" s="8">
        <f>164+1+7+220+4+32</f>
        <v>428</v>
      </c>
      <c r="AT18" s="6"/>
      <c r="AU18" s="32">
        <f t="shared" si="2"/>
        <v>12267</v>
      </c>
      <c r="AV18" s="6"/>
      <c r="AW18" s="32">
        <v>20162</v>
      </c>
    </row>
    <row r="19" spans="1:49" ht="18" customHeight="1">
      <c r="A19" s="8">
        <v>13</v>
      </c>
      <c r="B19" s="6" t="s">
        <v>66</v>
      </c>
      <c r="C19" s="21">
        <v>859.7</v>
      </c>
      <c r="D19" s="21">
        <v>260.3</v>
      </c>
      <c r="E19" s="21">
        <v>6</v>
      </c>
      <c r="F19" s="22"/>
      <c r="G19" s="22">
        <v>612.9</v>
      </c>
      <c r="H19" s="22">
        <v>10</v>
      </c>
      <c r="I19" s="22">
        <v>320</v>
      </c>
      <c r="J19" s="22">
        <v>0</v>
      </c>
      <c r="K19" s="22"/>
      <c r="L19" s="22">
        <v>10.1</v>
      </c>
      <c r="M19" s="21">
        <v>8.4</v>
      </c>
      <c r="N19" s="21">
        <v>4.3</v>
      </c>
      <c r="O19" s="21">
        <v>21</v>
      </c>
      <c r="P19" s="21">
        <v>0.4</v>
      </c>
      <c r="Q19" s="21"/>
      <c r="R19" s="21">
        <v>43.2</v>
      </c>
      <c r="S19" s="21">
        <v>12</v>
      </c>
      <c r="T19" s="21">
        <v>29.6</v>
      </c>
      <c r="U19" s="21">
        <v>8</v>
      </c>
      <c r="V19" s="21">
        <v>5.2</v>
      </c>
      <c r="W19" s="21">
        <v>10.2</v>
      </c>
      <c r="X19" s="21">
        <v>12</v>
      </c>
      <c r="Y19" s="21">
        <v>15</v>
      </c>
      <c r="Z19" s="21">
        <v>2.8</v>
      </c>
      <c r="AA19" s="21">
        <v>7</v>
      </c>
      <c r="AB19" s="21">
        <v>6.4</v>
      </c>
      <c r="AC19" s="21">
        <v>0.2</v>
      </c>
      <c r="AD19" s="21">
        <v>25.6</v>
      </c>
      <c r="AE19" s="21"/>
      <c r="AF19" s="21">
        <v>6</v>
      </c>
      <c r="AG19" s="21">
        <v>1</v>
      </c>
      <c r="AH19" s="21"/>
      <c r="AI19" s="21">
        <v>98</v>
      </c>
      <c r="AJ19" s="21">
        <v>0.3</v>
      </c>
      <c r="AK19" s="21">
        <v>8.4</v>
      </c>
      <c r="AL19" s="21">
        <v>5.9</v>
      </c>
      <c r="AM19" s="21">
        <v>4.8</v>
      </c>
      <c r="AN19" s="21">
        <v>223</v>
      </c>
      <c r="AO19" s="21">
        <v>3.5</v>
      </c>
      <c r="AP19" s="21"/>
      <c r="AQ19" s="21">
        <f t="shared" si="0"/>
        <v>2641.2000000000003</v>
      </c>
      <c r="AR19" s="21">
        <f t="shared" si="1"/>
        <v>2528.9</v>
      </c>
      <c r="AS19" s="8">
        <f>70+5+106+1+1+9</f>
        <v>192</v>
      </c>
      <c r="AT19" s="6"/>
      <c r="AU19" s="32">
        <f t="shared" si="2"/>
        <v>13171</v>
      </c>
      <c r="AV19" s="6"/>
      <c r="AW19" s="32">
        <v>20162</v>
      </c>
    </row>
    <row r="20" spans="1:49" ht="18.75">
      <c r="A20" s="8">
        <v>14</v>
      </c>
      <c r="B20" s="6" t="s">
        <v>65</v>
      </c>
      <c r="C20" s="21">
        <v>848.9</v>
      </c>
      <c r="D20" s="21">
        <v>257.1</v>
      </c>
      <c r="E20" s="21">
        <v>6</v>
      </c>
      <c r="F20" s="22"/>
      <c r="G20" s="22">
        <v>705.4</v>
      </c>
      <c r="H20" s="22">
        <v>10</v>
      </c>
      <c r="I20" s="22">
        <v>500</v>
      </c>
      <c r="J20" s="22">
        <v>10</v>
      </c>
      <c r="K20" s="22">
        <v>2</v>
      </c>
      <c r="L20" s="22">
        <v>9.7</v>
      </c>
      <c r="M20" s="21">
        <v>7.7</v>
      </c>
      <c r="N20" s="21"/>
      <c r="O20" s="21">
        <v>12.8</v>
      </c>
      <c r="P20" s="21">
        <v>0.4</v>
      </c>
      <c r="Q20" s="21"/>
      <c r="R20" s="21">
        <v>43.2</v>
      </c>
      <c r="S20" s="21">
        <v>14.4</v>
      </c>
      <c r="T20" s="21">
        <v>14.8</v>
      </c>
      <c r="U20" s="21">
        <v>8</v>
      </c>
      <c r="V20" s="21">
        <v>4.8</v>
      </c>
      <c r="W20" s="21">
        <v>3.2</v>
      </c>
      <c r="X20" s="21">
        <v>12</v>
      </c>
      <c r="Y20" s="21">
        <v>15</v>
      </c>
      <c r="Z20" s="21">
        <v>3.7</v>
      </c>
      <c r="AA20" s="21">
        <v>3.4</v>
      </c>
      <c r="AB20" s="21">
        <v>8</v>
      </c>
      <c r="AC20" s="21">
        <v>0</v>
      </c>
      <c r="AD20" s="21">
        <v>29.4</v>
      </c>
      <c r="AE20" s="21"/>
      <c r="AF20" s="21">
        <v>6</v>
      </c>
      <c r="AG20" s="21">
        <v>1</v>
      </c>
      <c r="AH20" s="21"/>
      <c r="AI20" s="21">
        <v>13.8</v>
      </c>
      <c r="AJ20" s="21">
        <v>0.3</v>
      </c>
      <c r="AK20" s="21">
        <v>6.7</v>
      </c>
      <c r="AL20" s="21">
        <v>4.9</v>
      </c>
      <c r="AM20" s="21"/>
      <c r="AN20" s="21"/>
      <c r="AO20" s="21"/>
      <c r="AP20" s="21"/>
      <c r="AQ20" s="21">
        <f t="shared" si="0"/>
        <v>2562.6000000000004</v>
      </c>
      <c r="AR20" s="21">
        <f t="shared" si="1"/>
        <v>2537.2000000000003</v>
      </c>
      <c r="AS20" s="8">
        <f>87+92+2+4</f>
        <v>185</v>
      </c>
      <c r="AT20" s="6"/>
      <c r="AU20" s="32">
        <f t="shared" si="2"/>
        <v>13715</v>
      </c>
      <c r="AV20" s="6"/>
      <c r="AW20" s="32">
        <v>20162</v>
      </c>
    </row>
    <row r="21" spans="1:49" ht="18.75">
      <c r="A21" s="8">
        <v>15</v>
      </c>
      <c r="B21" s="6" t="s">
        <v>89</v>
      </c>
      <c r="C21" s="21">
        <v>795.1</v>
      </c>
      <c r="D21" s="21">
        <v>240.9</v>
      </c>
      <c r="E21" s="21">
        <v>6</v>
      </c>
      <c r="F21" s="22"/>
      <c r="G21" s="22">
        <v>456.5</v>
      </c>
      <c r="H21" s="22"/>
      <c r="I21" s="22">
        <v>550</v>
      </c>
      <c r="J21" s="22">
        <v>90</v>
      </c>
      <c r="K21" s="22">
        <v>8.2</v>
      </c>
      <c r="L21" s="22">
        <v>9.7</v>
      </c>
      <c r="M21" s="21">
        <v>5.4</v>
      </c>
      <c r="N21" s="21"/>
      <c r="O21" s="21">
        <v>12.8</v>
      </c>
      <c r="P21" s="21">
        <v>0.9</v>
      </c>
      <c r="Q21" s="21"/>
      <c r="R21" s="21">
        <v>43.2</v>
      </c>
      <c r="S21" s="21">
        <v>13.2</v>
      </c>
      <c r="T21" s="21">
        <v>14.8</v>
      </c>
      <c r="U21" s="21">
        <v>8</v>
      </c>
      <c r="V21" s="21">
        <v>6</v>
      </c>
      <c r="W21" s="21">
        <v>8.8</v>
      </c>
      <c r="X21" s="21">
        <v>12</v>
      </c>
      <c r="Y21" s="21">
        <v>15</v>
      </c>
      <c r="Z21" s="21">
        <v>3.6</v>
      </c>
      <c r="AA21" s="21">
        <v>8.7</v>
      </c>
      <c r="AB21" s="21">
        <v>6.4</v>
      </c>
      <c r="AC21" s="21">
        <v>0.7</v>
      </c>
      <c r="AD21" s="21">
        <v>24.5</v>
      </c>
      <c r="AE21" s="21"/>
      <c r="AF21" s="21">
        <v>6</v>
      </c>
      <c r="AG21" s="21">
        <v>1</v>
      </c>
      <c r="AH21" s="21"/>
      <c r="AI21" s="21">
        <v>3.3</v>
      </c>
      <c r="AJ21" s="21">
        <v>0.3</v>
      </c>
      <c r="AK21" s="21">
        <v>23.9</v>
      </c>
      <c r="AL21" s="21">
        <v>2.5</v>
      </c>
      <c r="AM21" s="21"/>
      <c r="AN21" s="21"/>
      <c r="AO21" s="21"/>
      <c r="AP21" s="21"/>
      <c r="AQ21" s="21">
        <f t="shared" si="0"/>
        <v>2377.4</v>
      </c>
      <c r="AR21" s="21">
        <f t="shared" si="1"/>
        <v>2347.7</v>
      </c>
      <c r="AS21" s="8">
        <f>63+1+84+3+17</f>
        <v>168</v>
      </c>
      <c r="AT21" s="6"/>
      <c r="AU21" s="32">
        <f t="shared" si="2"/>
        <v>13974</v>
      </c>
      <c r="AV21" s="6"/>
      <c r="AW21" s="32">
        <v>20162</v>
      </c>
    </row>
    <row r="22" spans="1:49" ht="18.75">
      <c r="A22" s="8">
        <v>16</v>
      </c>
      <c r="B22" s="6" t="s">
        <v>60</v>
      </c>
      <c r="C22" s="21">
        <v>1033.7</v>
      </c>
      <c r="D22" s="21">
        <v>312.9</v>
      </c>
      <c r="E22" s="21">
        <v>6</v>
      </c>
      <c r="F22" s="22"/>
      <c r="G22" s="22"/>
      <c r="H22" s="22">
        <v>400</v>
      </c>
      <c r="I22" s="22">
        <v>330</v>
      </c>
      <c r="J22" s="22">
        <v>60</v>
      </c>
      <c r="K22" s="22">
        <v>5</v>
      </c>
      <c r="L22" s="22">
        <v>21</v>
      </c>
      <c r="M22" s="21">
        <v>7.8</v>
      </c>
      <c r="N22" s="21">
        <v>13.8</v>
      </c>
      <c r="O22" s="21">
        <v>12.8</v>
      </c>
      <c r="P22" s="21">
        <v>0.9</v>
      </c>
      <c r="Q22" s="21">
        <v>0.7</v>
      </c>
      <c r="R22" s="21">
        <v>43.2</v>
      </c>
      <c r="S22" s="21">
        <v>12</v>
      </c>
      <c r="T22" s="21">
        <v>14.8</v>
      </c>
      <c r="U22" s="21"/>
      <c r="V22" s="21">
        <v>4.5</v>
      </c>
      <c r="W22" s="21">
        <v>6.7</v>
      </c>
      <c r="X22" s="21">
        <v>12</v>
      </c>
      <c r="Y22" s="21"/>
      <c r="Z22" s="21">
        <v>2.5</v>
      </c>
      <c r="AA22" s="21">
        <v>23.1</v>
      </c>
      <c r="AB22" s="21">
        <v>1.6</v>
      </c>
      <c r="AC22" s="21">
        <v>1.3</v>
      </c>
      <c r="AD22" s="21">
        <v>13.1</v>
      </c>
      <c r="AE22" s="21"/>
      <c r="AF22" s="21">
        <v>6</v>
      </c>
      <c r="AG22" s="21">
        <v>52</v>
      </c>
      <c r="AH22" s="21">
        <v>503.6</v>
      </c>
      <c r="AI22" s="21">
        <v>65.8</v>
      </c>
      <c r="AJ22" s="21">
        <v>0.3</v>
      </c>
      <c r="AK22" s="21">
        <v>51.9</v>
      </c>
      <c r="AL22" s="21"/>
      <c r="AM22" s="21">
        <v>19.7</v>
      </c>
      <c r="AN22" s="21"/>
      <c r="AO22" s="21"/>
      <c r="AP22" s="21"/>
      <c r="AQ22" s="21">
        <f t="shared" si="0"/>
        <v>3038.7000000000003</v>
      </c>
      <c r="AR22" s="21">
        <f t="shared" si="1"/>
        <v>2417.4</v>
      </c>
      <c r="AS22" s="8">
        <v>53</v>
      </c>
      <c r="AT22" s="8">
        <v>83</v>
      </c>
      <c r="AU22" s="32">
        <f t="shared" si="2"/>
        <v>17775</v>
      </c>
      <c r="AV22" s="6"/>
      <c r="AW22" s="32">
        <v>20162</v>
      </c>
    </row>
    <row r="23" spans="1:49" ht="18.75">
      <c r="A23" s="8">
        <v>17</v>
      </c>
      <c r="B23" s="6" t="s">
        <v>78</v>
      </c>
      <c r="C23" s="21">
        <v>884.9</v>
      </c>
      <c r="D23" s="21">
        <v>268</v>
      </c>
      <c r="E23" s="21">
        <v>6</v>
      </c>
      <c r="F23" s="22"/>
      <c r="G23" s="22">
        <v>895.7</v>
      </c>
      <c r="H23" s="22">
        <v>10</v>
      </c>
      <c r="I23" s="22">
        <v>680</v>
      </c>
      <c r="J23" s="22">
        <v>170</v>
      </c>
      <c r="K23" s="22">
        <v>15</v>
      </c>
      <c r="L23" s="22">
        <v>25.2</v>
      </c>
      <c r="M23" s="21">
        <v>16</v>
      </c>
      <c r="N23" s="21"/>
      <c r="O23" s="21">
        <v>2.6</v>
      </c>
      <c r="P23" s="21">
        <v>0.4</v>
      </c>
      <c r="Q23" s="21"/>
      <c r="R23" s="21">
        <v>43.2</v>
      </c>
      <c r="S23" s="21">
        <v>12</v>
      </c>
      <c r="T23" s="21">
        <v>14.8</v>
      </c>
      <c r="U23" s="21">
        <v>13.1</v>
      </c>
      <c r="V23" s="21">
        <v>4.5</v>
      </c>
      <c r="W23" s="21">
        <v>9</v>
      </c>
      <c r="X23" s="21">
        <v>12</v>
      </c>
      <c r="Y23" s="21">
        <f>399.3+79.2</f>
        <v>478.5</v>
      </c>
      <c r="Z23" s="21">
        <v>3.3</v>
      </c>
      <c r="AA23" s="21">
        <v>3.8</v>
      </c>
      <c r="AB23" s="21">
        <v>6.4</v>
      </c>
      <c r="AC23" s="21">
        <v>0</v>
      </c>
      <c r="AD23" s="21">
        <v>23.9</v>
      </c>
      <c r="AE23" s="21"/>
      <c r="AF23" s="21">
        <v>6</v>
      </c>
      <c r="AG23" s="21">
        <v>46</v>
      </c>
      <c r="AH23" s="21"/>
      <c r="AI23" s="21">
        <f>140-2</f>
        <v>138</v>
      </c>
      <c r="AJ23" s="21">
        <v>0.3</v>
      </c>
      <c r="AK23" s="21">
        <v>31.5</v>
      </c>
      <c r="AL23" s="21">
        <v>4.9</v>
      </c>
      <c r="AM23" s="21"/>
      <c r="AN23" s="21"/>
      <c r="AO23" s="21"/>
      <c r="AP23" s="21"/>
      <c r="AQ23" s="21">
        <f t="shared" si="0"/>
        <v>3825.000000000001</v>
      </c>
      <c r="AR23" s="21">
        <f t="shared" si="1"/>
        <v>3650.600000000001</v>
      </c>
      <c r="AS23" s="8">
        <f>87+3+95+13</f>
        <v>198</v>
      </c>
      <c r="AT23" s="6"/>
      <c r="AU23" s="32">
        <f t="shared" si="2"/>
        <v>18437</v>
      </c>
      <c r="AV23" s="6"/>
      <c r="AW23" s="32">
        <v>20162</v>
      </c>
    </row>
    <row r="24" spans="1:49" ht="18.75">
      <c r="A24" s="8">
        <v>18</v>
      </c>
      <c r="B24" s="6" t="s">
        <v>71</v>
      </c>
      <c r="C24" s="21">
        <v>616.6</v>
      </c>
      <c r="D24" s="21">
        <v>186.9</v>
      </c>
      <c r="E24" s="21">
        <v>6</v>
      </c>
      <c r="F24" s="22"/>
      <c r="G24" s="22">
        <v>266.2</v>
      </c>
      <c r="H24" s="22">
        <v>2</v>
      </c>
      <c r="I24" s="22">
        <v>140</v>
      </c>
      <c r="J24" s="22">
        <v>22</v>
      </c>
      <c r="K24" s="22">
        <v>5</v>
      </c>
      <c r="L24" s="22">
        <v>4.2</v>
      </c>
      <c r="M24" s="21">
        <v>5.3</v>
      </c>
      <c r="N24" s="21">
        <v>5.4</v>
      </c>
      <c r="O24" s="21">
        <v>12.8</v>
      </c>
      <c r="P24" s="21">
        <v>0.4</v>
      </c>
      <c r="Q24" s="21">
        <v>32.1</v>
      </c>
      <c r="R24" s="21">
        <v>43.2</v>
      </c>
      <c r="S24" s="21">
        <v>14.4</v>
      </c>
      <c r="T24" s="21">
        <v>14.8</v>
      </c>
      <c r="U24" s="21">
        <v>8</v>
      </c>
      <c r="V24" s="21">
        <v>4.5</v>
      </c>
      <c r="W24" s="21">
        <v>8.7</v>
      </c>
      <c r="X24" s="21">
        <v>12</v>
      </c>
      <c r="Y24" s="21">
        <v>15</v>
      </c>
      <c r="Z24" s="21">
        <v>2.5</v>
      </c>
      <c r="AA24" s="21">
        <v>4.9</v>
      </c>
      <c r="AB24" s="21">
        <v>6.4</v>
      </c>
      <c r="AC24" s="21">
        <v>0</v>
      </c>
      <c r="AD24" s="21">
        <v>2.5</v>
      </c>
      <c r="AE24" s="21"/>
      <c r="AF24" s="21">
        <v>6</v>
      </c>
      <c r="AG24" s="21">
        <v>3</v>
      </c>
      <c r="AH24" s="21"/>
      <c r="AI24" s="21">
        <v>0</v>
      </c>
      <c r="AJ24" s="21">
        <v>0.3</v>
      </c>
      <c r="AK24" s="21">
        <v>12.2</v>
      </c>
      <c r="AL24" s="21"/>
      <c r="AM24" s="21">
        <v>6.7</v>
      </c>
      <c r="AN24" s="21"/>
      <c r="AO24" s="21"/>
      <c r="AP24" s="21"/>
      <c r="AQ24" s="21">
        <f t="shared" si="0"/>
        <v>1470.0000000000005</v>
      </c>
      <c r="AR24" s="21">
        <f t="shared" si="1"/>
        <v>1457.8000000000004</v>
      </c>
      <c r="AS24" s="8">
        <f>27+2+47</f>
        <v>76</v>
      </c>
      <c r="AT24" s="6"/>
      <c r="AU24" s="32">
        <f t="shared" si="2"/>
        <v>19182</v>
      </c>
      <c r="AV24" s="6"/>
      <c r="AW24" s="32">
        <v>20162</v>
      </c>
    </row>
    <row r="25" spans="1:49" ht="18.75">
      <c r="A25" s="8">
        <v>19</v>
      </c>
      <c r="B25" s="6" t="s">
        <v>77</v>
      </c>
      <c r="C25" s="21">
        <v>795.5</v>
      </c>
      <c r="D25" s="21">
        <v>241</v>
      </c>
      <c r="E25" s="21">
        <v>6</v>
      </c>
      <c r="F25" s="22">
        <v>1900</v>
      </c>
      <c r="G25" s="22"/>
      <c r="H25" s="22"/>
      <c r="I25" s="22">
        <v>500</v>
      </c>
      <c r="J25" s="22">
        <v>200</v>
      </c>
      <c r="K25" s="22">
        <v>10</v>
      </c>
      <c r="L25" s="22">
        <v>21</v>
      </c>
      <c r="M25" s="21">
        <v>12.4</v>
      </c>
      <c r="N25" s="21"/>
      <c r="O25" s="21">
        <v>12.8</v>
      </c>
      <c r="P25" s="21">
        <v>0.4</v>
      </c>
      <c r="Q25" s="21">
        <v>2.5</v>
      </c>
      <c r="R25" s="21">
        <v>43.2</v>
      </c>
      <c r="S25" s="21">
        <v>12</v>
      </c>
      <c r="T25" s="21">
        <v>14.8</v>
      </c>
      <c r="U25" s="21">
        <f>1.8+8</f>
        <v>9.8</v>
      </c>
      <c r="V25" s="21">
        <v>6</v>
      </c>
      <c r="W25" s="21">
        <v>4.8</v>
      </c>
      <c r="X25" s="21">
        <v>12</v>
      </c>
      <c r="Y25" s="21"/>
      <c r="Z25" s="21">
        <v>4.7</v>
      </c>
      <c r="AA25" s="21">
        <v>4.9</v>
      </c>
      <c r="AB25" s="21">
        <v>6.4</v>
      </c>
      <c r="AC25" s="21">
        <v>3.1</v>
      </c>
      <c r="AD25" s="21">
        <v>20.3</v>
      </c>
      <c r="AE25" s="21"/>
      <c r="AF25" s="21">
        <v>6</v>
      </c>
      <c r="AG25" s="21">
        <v>1</v>
      </c>
      <c r="AH25" s="21"/>
      <c r="AI25" s="21">
        <v>32.2</v>
      </c>
      <c r="AJ25" s="21">
        <v>0.3</v>
      </c>
      <c r="AK25" s="21">
        <v>31</v>
      </c>
      <c r="AL25" s="21"/>
      <c r="AM25" s="21"/>
      <c r="AN25" s="21"/>
      <c r="AO25" s="21"/>
      <c r="AP25" s="21"/>
      <c r="AQ25" s="21">
        <f t="shared" si="0"/>
        <v>3914.100000000001</v>
      </c>
      <c r="AR25" s="21">
        <f t="shared" si="1"/>
        <v>3850.900000000001</v>
      </c>
      <c r="AS25" s="8">
        <f>60+2+115+2+12</f>
        <v>191</v>
      </c>
      <c r="AT25" s="6"/>
      <c r="AU25" s="37">
        <f t="shared" si="2"/>
        <v>20162</v>
      </c>
      <c r="AV25" s="32">
        <v>20162</v>
      </c>
      <c r="AW25" s="32">
        <v>20162</v>
      </c>
    </row>
    <row r="26" spans="1:49" ht="18.75">
      <c r="A26" s="8">
        <v>20</v>
      </c>
      <c r="B26" s="6" t="s">
        <v>59</v>
      </c>
      <c r="C26" s="21">
        <v>884.8</v>
      </c>
      <c r="D26" s="21">
        <v>268</v>
      </c>
      <c r="E26" s="21">
        <v>6</v>
      </c>
      <c r="F26" s="22"/>
      <c r="G26" s="22">
        <v>514.1</v>
      </c>
      <c r="H26" s="22"/>
      <c r="I26" s="22">
        <v>230</v>
      </c>
      <c r="J26" s="22">
        <v>15</v>
      </c>
      <c r="K26" s="22"/>
      <c r="L26" s="22">
        <v>5</v>
      </c>
      <c r="M26" s="21">
        <v>10</v>
      </c>
      <c r="N26" s="21"/>
      <c r="O26" s="21">
        <v>12.8</v>
      </c>
      <c r="P26" s="21">
        <v>0.9</v>
      </c>
      <c r="Q26" s="21"/>
      <c r="R26" s="21">
        <v>43.2</v>
      </c>
      <c r="S26" s="21">
        <v>12</v>
      </c>
      <c r="T26" s="21">
        <v>14.8</v>
      </c>
      <c r="U26" s="21">
        <v>16</v>
      </c>
      <c r="V26" s="21">
        <v>5.8</v>
      </c>
      <c r="W26" s="21">
        <v>4.5</v>
      </c>
      <c r="X26" s="21">
        <v>12</v>
      </c>
      <c r="Y26" s="21">
        <v>30</v>
      </c>
      <c r="Z26" s="21">
        <v>2.9</v>
      </c>
      <c r="AA26" s="21">
        <v>4.4</v>
      </c>
      <c r="AB26" s="21">
        <v>3.2</v>
      </c>
      <c r="AC26" s="21">
        <v>0.7</v>
      </c>
      <c r="AD26" s="21">
        <v>7.8</v>
      </c>
      <c r="AE26" s="21"/>
      <c r="AF26" s="21">
        <v>6</v>
      </c>
      <c r="AG26" s="21">
        <v>1</v>
      </c>
      <c r="AH26" s="21"/>
      <c r="AI26" s="21">
        <v>5.9</v>
      </c>
      <c r="AJ26" s="21">
        <v>0.3</v>
      </c>
      <c r="AK26" s="21">
        <v>10.7</v>
      </c>
      <c r="AL26" s="21">
        <v>5</v>
      </c>
      <c r="AM26" s="21">
        <v>4.8</v>
      </c>
      <c r="AN26" s="21"/>
      <c r="AO26" s="21"/>
      <c r="AP26" s="21"/>
      <c r="AQ26" s="21">
        <f t="shared" si="0"/>
        <v>2137.6000000000004</v>
      </c>
      <c r="AR26" s="21">
        <f t="shared" si="1"/>
        <v>2116.0000000000005</v>
      </c>
      <c r="AS26" s="8">
        <f>34+48+2+6</f>
        <v>90</v>
      </c>
      <c r="AT26" s="6"/>
      <c r="AU26" s="32">
        <f t="shared" si="2"/>
        <v>23511</v>
      </c>
      <c r="AV26" s="6"/>
      <c r="AW26" s="32">
        <v>20162</v>
      </c>
    </row>
    <row r="27" spans="1:49" ht="18.75">
      <c r="A27" s="8">
        <v>21</v>
      </c>
      <c r="B27" s="6" t="s">
        <v>54</v>
      </c>
      <c r="C27" s="21">
        <v>710.5</v>
      </c>
      <c r="D27" s="21">
        <v>215.4</v>
      </c>
      <c r="E27" s="21">
        <v>6</v>
      </c>
      <c r="F27" s="22"/>
      <c r="G27" s="22">
        <v>287.1</v>
      </c>
      <c r="H27" s="22"/>
      <c r="I27" s="22">
        <v>210</v>
      </c>
      <c r="J27" s="22">
        <v>0</v>
      </c>
      <c r="K27" s="22"/>
      <c r="L27" s="22">
        <v>5</v>
      </c>
      <c r="M27" s="21">
        <v>5.4</v>
      </c>
      <c r="N27" s="21"/>
      <c r="O27" s="21">
        <v>12.8</v>
      </c>
      <c r="P27" s="21">
        <v>0.4</v>
      </c>
      <c r="Q27" s="21"/>
      <c r="R27" s="21">
        <v>43.2</v>
      </c>
      <c r="S27" s="21">
        <v>10.8</v>
      </c>
      <c r="T27" s="21">
        <v>14.8</v>
      </c>
      <c r="U27" s="21">
        <v>8</v>
      </c>
      <c r="V27" s="21">
        <v>3.8</v>
      </c>
      <c r="W27" s="21">
        <v>4.8</v>
      </c>
      <c r="X27" s="21">
        <v>12</v>
      </c>
      <c r="Y27" s="21">
        <v>15</v>
      </c>
      <c r="Z27" s="21">
        <v>2.4</v>
      </c>
      <c r="AA27" s="21">
        <v>6</v>
      </c>
      <c r="AB27" s="21">
        <v>6.4</v>
      </c>
      <c r="AC27" s="21">
        <v>0</v>
      </c>
      <c r="AD27" s="21">
        <v>12.5</v>
      </c>
      <c r="AE27" s="21"/>
      <c r="AF27" s="21">
        <v>6</v>
      </c>
      <c r="AG27" s="21">
        <v>1</v>
      </c>
      <c r="AH27" s="21"/>
      <c r="AI27" s="21">
        <v>20.1</v>
      </c>
      <c r="AJ27" s="21">
        <v>0.3</v>
      </c>
      <c r="AK27" s="21">
        <v>7.6</v>
      </c>
      <c r="AL27" s="21">
        <v>6</v>
      </c>
      <c r="AM27" s="21"/>
      <c r="AN27" s="21"/>
      <c r="AO27" s="21"/>
      <c r="AP27" s="21"/>
      <c r="AQ27" s="21">
        <f t="shared" si="0"/>
        <v>1633.3</v>
      </c>
      <c r="AR27" s="21">
        <f t="shared" si="1"/>
        <v>1599.6000000000001</v>
      </c>
      <c r="AS27" s="8">
        <f>27+40</f>
        <v>67</v>
      </c>
      <c r="AT27" s="6"/>
      <c r="AU27" s="32">
        <f t="shared" si="2"/>
        <v>23875</v>
      </c>
      <c r="AV27" s="6"/>
      <c r="AW27" s="32">
        <v>20162</v>
      </c>
    </row>
    <row r="28" spans="1:49" ht="18.75">
      <c r="A28" s="8">
        <v>22</v>
      </c>
      <c r="B28" s="6" t="s">
        <v>81</v>
      </c>
      <c r="C28" s="21">
        <v>1362.3</v>
      </c>
      <c r="D28" s="21">
        <v>412.2</v>
      </c>
      <c r="E28" s="21">
        <v>6</v>
      </c>
      <c r="F28" s="22"/>
      <c r="G28" s="22"/>
      <c r="H28" s="22">
        <v>2</v>
      </c>
      <c r="I28" s="22">
        <v>250</v>
      </c>
      <c r="J28" s="22">
        <v>25</v>
      </c>
      <c r="K28" s="22">
        <v>5</v>
      </c>
      <c r="L28" s="22">
        <v>7.1</v>
      </c>
      <c r="M28" s="21">
        <v>9.5</v>
      </c>
      <c r="N28" s="21">
        <v>3.6</v>
      </c>
      <c r="O28" s="21">
        <v>12.8</v>
      </c>
      <c r="P28" s="21">
        <v>1.3</v>
      </c>
      <c r="Q28" s="21"/>
      <c r="R28" s="21">
        <v>43.2</v>
      </c>
      <c r="S28" s="21">
        <v>14.4</v>
      </c>
      <c r="T28" s="21">
        <v>14.8</v>
      </c>
      <c r="U28" s="21"/>
      <c r="V28" s="21">
        <v>5.5</v>
      </c>
      <c r="W28" s="21">
        <v>5.9</v>
      </c>
      <c r="X28" s="21">
        <v>12</v>
      </c>
      <c r="Y28" s="21"/>
      <c r="Z28" s="21">
        <v>3.3</v>
      </c>
      <c r="AA28" s="21">
        <v>4.4</v>
      </c>
      <c r="AB28" s="21">
        <v>6.4</v>
      </c>
      <c r="AC28" s="21">
        <v>2.2</v>
      </c>
      <c r="AD28" s="21">
        <v>18.2</v>
      </c>
      <c r="AE28" s="21"/>
      <c r="AF28" s="21">
        <v>6</v>
      </c>
      <c r="AG28" s="21">
        <v>1</v>
      </c>
      <c r="AH28" s="21"/>
      <c r="AI28" s="21">
        <v>0</v>
      </c>
      <c r="AJ28" s="21">
        <v>0.3</v>
      </c>
      <c r="AK28" s="21">
        <v>7.6</v>
      </c>
      <c r="AL28" s="21">
        <v>7.7</v>
      </c>
      <c r="AM28" s="21"/>
      <c r="AN28" s="21">
        <v>1018</v>
      </c>
      <c r="AO28" s="21">
        <v>5</v>
      </c>
      <c r="AP28" s="21"/>
      <c r="AQ28" s="21">
        <f t="shared" si="0"/>
        <v>3272.7000000000003</v>
      </c>
      <c r="AR28" s="21">
        <f t="shared" si="1"/>
        <v>3257.4000000000005</v>
      </c>
      <c r="AS28" s="8">
        <f>52+2+66+2+9</f>
        <v>131</v>
      </c>
      <c r="AT28" s="6"/>
      <c r="AU28" s="32">
        <f t="shared" si="2"/>
        <v>24866</v>
      </c>
      <c r="AV28" s="6"/>
      <c r="AW28" s="32">
        <v>20162</v>
      </c>
    </row>
    <row r="29" spans="1:49" ht="18.75">
      <c r="A29" s="8">
        <v>23</v>
      </c>
      <c r="B29" s="6" t="s">
        <v>64</v>
      </c>
      <c r="C29" s="21">
        <v>708.4</v>
      </c>
      <c r="D29" s="21">
        <v>214.6</v>
      </c>
      <c r="E29" s="21">
        <v>6</v>
      </c>
      <c r="F29" s="22"/>
      <c r="G29" s="22">
        <v>393</v>
      </c>
      <c r="H29" s="22">
        <v>10</v>
      </c>
      <c r="I29" s="22">
        <v>300</v>
      </c>
      <c r="J29" s="22">
        <v>35</v>
      </c>
      <c r="K29" s="36">
        <v>5</v>
      </c>
      <c r="L29" s="22">
        <v>5.5</v>
      </c>
      <c r="M29" s="21">
        <v>9.9</v>
      </c>
      <c r="N29" s="21"/>
      <c r="O29" s="21">
        <v>12.8</v>
      </c>
      <c r="P29" s="21">
        <v>0.9</v>
      </c>
      <c r="Q29" s="21">
        <v>1.4</v>
      </c>
      <c r="R29" s="21">
        <v>43.2</v>
      </c>
      <c r="S29" s="21">
        <v>14.4</v>
      </c>
      <c r="T29" s="21">
        <v>14.8</v>
      </c>
      <c r="U29" s="21">
        <v>8</v>
      </c>
      <c r="V29" s="21">
        <v>4.8</v>
      </c>
      <c r="W29" s="21">
        <v>5</v>
      </c>
      <c r="X29" s="21">
        <v>12</v>
      </c>
      <c r="Y29" s="21">
        <v>11.8</v>
      </c>
      <c r="Z29" s="21">
        <v>4.8</v>
      </c>
      <c r="AA29" s="21">
        <v>3.9</v>
      </c>
      <c r="AB29" s="21">
        <v>9.6</v>
      </c>
      <c r="AC29" s="21">
        <v>1.1</v>
      </c>
      <c r="AD29" s="21">
        <v>11.8</v>
      </c>
      <c r="AE29" s="21"/>
      <c r="AF29" s="21">
        <v>6</v>
      </c>
      <c r="AG29" s="21">
        <v>2</v>
      </c>
      <c r="AH29" s="21"/>
      <c r="AI29" s="21">
        <v>28.6</v>
      </c>
      <c r="AJ29" s="21">
        <v>0.3</v>
      </c>
      <c r="AK29" s="21">
        <v>11.4</v>
      </c>
      <c r="AL29" s="21"/>
      <c r="AM29" s="21">
        <v>3.6</v>
      </c>
      <c r="AN29" s="21"/>
      <c r="AO29" s="21"/>
      <c r="AP29" s="21"/>
      <c r="AQ29" s="21">
        <f t="shared" si="0"/>
        <v>1899.6</v>
      </c>
      <c r="AR29" s="21">
        <f t="shared" si="1"/>
        <v>1859.6</v>
      </c>
      <c r="AS29" s="8">
        <f>29+42</f>
        <v>71</v>
      </c>
      <c r="AT29" s="6"/>
      <c r="AU29" s="32">
        <f t="shared" si="2"/>
        <v>26192</v>
      </c>
      <c r="AV29" s="6"/>
      <c r="AW29" s="32">
        <v>20162</v>
      </c>
    </row>
    <row r="30" spans="1:49" ht="18.75">
      <c r="A30" s="8">
        <v>24</v>
      </c>
      <c r="B30" s="6" t="s">
        <v>68</v>
      </c>
      <c r="C30" s="21">
        <v>1152.4</v>
      </c>
      <c r="D30" s="21">
        <v>348.7</v>
      </c>
      <c r="E30" s="21">
        <v>6</v>
      </c>
      <c r="F30" s="22"/>
      <c r="G30" s="22">
        <v>240</v>
      </c>
      <c r="H30" s="22"/>
      <c r="I30" s="22">
        <v>120</v>
      </c>
      <c r="J30" s="23">
        <v>0</v>
      </c>
      <c r="K30" s="22"/>
      <c r="L30" s="22">
        <v>4.6</v>
      </c>
      <c r="M30" s="21">
        <v>10</v>
      </c>
      <c r="N30" s="21"/>
      <c r="O30" s="21">
        <v>12.8</v>
      </c>
      <c r="P30" s="21">
        <v>0.4</v>
      </c>
      <c r="Q30" s="21"/>
      <c r="R30" s="21">
        <v>43.2</v>
      </c>
      <c r="S30" s="21">
        <v>12</v>
      </c>
      <c r="T30" s="21">
        <v>14.8</v>
      </c>
      <c r="U30" s="21">
        <v>8</v>
      </c>
      <c r="V30" s="21">
        <v>4</v>
      </c>
      <c r="W30" s="21">
        <v>7</v>
      </c>
      <c r="X30" s="21">
        <v>12</v>
      </c>
      <c r="Y30" s="21">
        <v>6.4</v>
      </c>
      <c r="Z30" s="21">
        <v>3</v>
      </c>
      <c r="AA30" s="21">
        <v>5.3</v>
      </c>
      <c r="AB30" s="21">
        <v>6.4</v>
      </c>
      <c r="AC30" s="21">
        <v>0.9</v>
      </c>
      <c r="AD30" s="21">
        <v>10</v>
      </c>
      <c r="AE30" s="21"/>
      <c r="AF30" s="21">
        <v>6</v>
      </c>
      <c r="AG30" s="21">
        <v>1</v>
      </c>
      <c r="AH30" s="21"/>
      <c r="AI30" s="21">
        <v>0</v>
      </c>
      <c r="AJ30" s="21">
        <v>0.3</v>
      </c>
      <c r="AK30" s="21">
        <v>7.1</v>
      </c>
      <c r="AL30" s="21">
        <v>2.5</v>
      </c>
      <c r="AM30" s="21">
        <v>5.4</v>
      </c>
      <c r="AN30" s="21"/>
      <c r="AO30" s="21"/>
      <c r="AP30" s="21"/>
      <c r="AQ30" s="21">
        <f t="shared" si="0"/>
        <v>2050.2000000000003</v>
      </c>
      <c r="AR30" s="21">
        <f t="shared" si="1"/>
        <v>2040.6000000000004</v>
      </c>
      <c r="AS30" s="8">
        <f>16+2+49+1</f>
        <v>68</v>
      </c>
      <c r="AT30" s="6"/>
      <c r="AU30" s="32">
        <f t="shared" si="2"/>
        <v>30009</v>
      </c>
      <c r="AV30" s="6"/>
      <c r="AW30" s="32">
        <v>20162</v>
      </c>
    </row>
    <row r="31" spans="1:49" ht="18.75">
      <c r="A31" s="8">
        <v>25</v>
      </c>
      <c r="B31" s="6" t="s">
        <v>90</v>
      </c>
      <c r="C31" s="24">
        <v>1149.9</v>
      </c>
      <c r="D31" s="24">
        <v>348</v>
      </c>
      <c r="E31" s="21">
        <v>6</v>
      </c>
      <c r="F31" s="22"/>
      <c r="G31" s="23">
        <v>265.1</v>
      </c>
      <c r="H31" s="22">
        <v>6</v>
      </c>
      <c r="I31" s="22">
        <v>300</v>
      </c>
      <c r="J31" s="22">
        <v>0</v>
      </c>
      <c r="K31" s="22"/>
      <c r="L31" s="22">
        <v>5</v>
      </c>
      <c r="M31" s="21">
        <v>10</v>
      </c>
      <c r="N31" s="21"/>
      <c r="O31" s="21">
        <v>12.8</v>
      </c>
      <c r="P31" s="21">
        <v>0.4</v>
      </c>
      <c r="Q31" s="21"/>
      <c r="R31" s="21">
        <v>43.2</v>
      </c>
      <c r="S31" s="21">
        <v>12</v>
      </c>
      <c r="T31" s="21">
        <v>14.8</v>
      </c>
      <c r="U31" s="21">
        <v>8</v>
      </c>
      <c r="V31" s="21">
        <v>4.8</v>
      </c>
      <c r="W31" s="21">
        <v>5</v>
      </c>
      <c r="X31" s="21">
        <v>12</v>
      </c>
      <c r="Y31" s="21">
        <v>6.4</v>
      </c>
      <c r="Z31" s="21">
        <v>3.1</v>
      </c>
      <c r="AA31" s="21">
        <v>4.7</v>
      </c>
      <c r="AB31" s="21">
        <v>6.4</v>
      </c>
      <c r="AC31" s="21">
        <v>1.1</v>
      </c>
      <c r="AD31" s="21">
        <v>11.8</v>
      </c>
      <c r="AE31" s="21"/>
      <c r="AF31" s="21">
        <v>6</v>
      </c>
      <c r="AG31" s="21">
        <v>1</v>
      </c>
      <c r="AH31" s="21"/>
      <c r="AI31" s="21">
        <v>0.8</v>
      </c>
      <c r="AJ31" s="21">
        <v>0.3</v>
      </c>
      <c r="AK31" s="21">
        <v>8.8</v>
      </c>
      <c r="AL31" s="21">
        <v>4.9</v>
      </c>
      <c r="AM31" s="21"/>
      <c r="AN31" s="21"/>
      <c r="AO31" s="21"/>
      <c r="AP31" s="21"/>
      <c r="AQ31" s="21">
        <f t="shared" si="0"/>
        <v>2258.300000000001</v>
      </c>
      <c r="AR31" s="21">
        <f t="shared" si="1"/>
        <v>2243.8000000000006</v>
      </c>
      <c r="AS31" s="8">
        <f>29+3+40+1+1</f>
        <v>74</v>
      </c>
      <c r="AT31" s="6"/>
      <c r="AU31" s="32">
        <f t="shared" si="2"/>
        <v>30322</v>
      </c>
      <c r="AV31" s="6"/>
      <c r="AW31" s="32">
        <v>20162</v>
      </c>
    </row>
    <row r="32" spans="1:49" ht="18.75">
      <c r="A32" s="8">
        <v>26</v>
      </c>
      <c r="B32" s="6" t="s">
        <v>63</v>
      </c>
      <c r="C32" s="21">
        <v>1085.7</v>
      </c>
      <c r="D32" s="21">
        <v>328.7</v>
      </c>
      <c r="E32" s="21">
        <v>6</v>
      </c>
      <c r="F32" s="22"/>
      <c r="G32" s="22">
        <v>502.4</v>
      </c>
      <c r="H32" s="22"/>
      <c r="I32" s="22">
        <v>400</v>
      </c>
      <c r="J32" s="22">
        <v>49.6</v>
      </c>
      <c r="K32" s="22">
        <v>5</v>
      </c>
      <c r="L32" s="22">
        <v>5</v>
      </c>
      <c r="M32" s="21">
        <v>7.7</v>
      </c>
      <c r="N32" s="21"/>
      <c r="O32" s="21">
        <v>12.8</v>
      </c>
      <c r="P32" s="21">
        <v>0.9</v>
      </c>
      <c r="Q32" s="21"/>
      <c r="R32" s="21">
        <v>43.2</v>
      </c>
      <c r="S32" s="21">
        <v>14.4</v>
      </c>
      <c r="T32" s="21">
        <v>14.8</v>
      </c>
      <c r="U32" s="21">
        <v>8</v>
      </c>
      <c r="V32" s="21">
        <v>5.6</v>
      </c>
      <c r="W32" s="21">
        <v>5.5</v>
      </c>
      <c r="X32" s="21">
        <v>12</v>
      </c>
      <c r="Y32" s="21">
        <v>15</v>
      </c>
      <c r="Z32" s="21">
        <v>2.9</v>
      </c>
      <c r="AA32" s="21">
        <v>4.4</v>
      </c>
      <c r="AB32" s="21">
        <v>6.4</v>
      </c>
      <c r="AC32" s="21">
        <v>1.4</v>
      </c>
      <c r="AD32" s="21">
        <v>26.1</v>
      </c>
      <c r="AE32" s="21"/>
      <c r="AF32" s="21">
        <v>6</v>
      </c>
      <c r="AG32" s="21">
        <v>4</v>
      </c>
      <c r="AH32" s="21"/>
      <c r="AI32" s="21">
        <v>18.1</v>
      </c>
      <c r="AJ32" s="21">
        <v>0.3</v>
      </c>
      <c r="AK32" s="21">
        <v>11.9</v>
      </c>
      <c r="AL32" s="21">
        <v>5.2</v>
      </c>
      <c r="AM32" s="21"/>
      <c r="AN32" s="21"/>
      <c r="AO32" s="21"/>
      <c r="AP32" s="21"/>
      <c r="AQ32" s="21">
        <f t="shared" si="0"/>
        <v>2609.0000000000005</v>
      </c>
      <c r="AR32" s="21">
        <f t="shared" si="1"/>
        <v>2573.8000000000006</v>
      </c>
      <c r="AS32" s="8">
        <f>32+3+39+6</f>
        <v>80</v>
      </c>
      <c r="AT32" s="6"/>
      <c r="AU32" s="32">
        <f t="shared" si="2"/>
        <v>32173</v>
      </c>
      <c r="AV32" s="6"/>
      <c r="AW32" s="32">
        <v>20162</v>
      </c>
    </row>
    <row r="33" spans="1:49" ht="18.75">
      <c r="A33" s="8">
        <v>27</v>
      </c>
      <c r="B33" s="6" t="s">
        <v>58</v>
      </c>
      <c r="C33" s="21">
        <v>1622.6</v>
      </c>
      <c r="D33" s="21">
        <v>490.8</v>
      </c>
      <c r="E33" s="21">
        <v>6</v>
      </c>
      <c r="F33" s="22"/>
      <c r="G33" s="22"/>
      <c r="H33" s="22"/>
      <c r="I33" s="22">
        <v>200</v>
      </c>
      <c r="J33" s="22">
        <v>0</v>
      </c>
      <c r="K33" s="22"/>
      <c r="L33" s="22">
        <v>4.6</v>
      </c>
      <c r="M33" s="21">
        <v>13.8</v>
      </c>
      <c r="N33" s="21"/>
      <c r="O33" s="21">
        <v>12.8</v>
      </c>
      <c r="P33" s="21">
        <v>0.4</v>
      </c>
      <c r="Q33" s="21"/>
      <c r="R33" s="21">
        <v>43.2</v>
      </c>
      <c r="S33" s="21">
        <v>13.2</v>
      </c>
      <c r="T33" s="21">
        <v>14.8</v>
      </c>
      <c r="U33" s="21"/>
      <c r="V33" s="21">
        <v>4.5</v>
      </c>
      <c r="W33" s="21">
        <v>6.5</v>
      </c>
      <c r="X33" s="21">
        <v>12</v>
      </c>
      <c r="Y33" s="21"/>
      <c r="Z33" s="21">
        <v>4.2</v>
      </c>
      <c r="AA33" s="21">
        <v>4.4</v>
      </c>
      <c r="AB33" s="21">
        <v>6.4</v>
      </c>
      <c r="AC33" s="21">
        <v>1.3</v>
      </c>
      <c r="AD33" s="21">
        <v>9</v>
      </c>
      <c r="AE33" s="21"/>
      <c r="AF33" s="21">
        <v>6</v>
      </c>
      <c r="AG33" s="21">
        <v>1</v>
      </c>
      <c r="AH33" s="21"/>
      <c r="AI33" s="21">
        <v>155.7</v>
      </c>
      <c r="AJ33" s="21">
        <v>0.3</v>
      </c>
      <c r="AK33" s="21">
        <v>3.4</v>
      </c>
      <c r="AL33" s="21">
        <v>4.9</v>
      </c>
      <c r="AM33" s="21">
        <v>9.5</v>
      </c>
      <c r="AN33" s="21">
        <v>1017</v>
      </c>
      <c r="AO33" s="21">
        <v>5</v>
      </c>
      <c r="AP33" s="21"/>
      <c r="AQ33" s="21">
        <f t="shared" si="0"/>
        <v>3673.3000000000006</v>
      </c>
      <c r="AR33" s="21">
        <f t="shared" si="1"/>
        <v>3509.3000000000006</v>
      </c>
      <c r="AS33" s="8">
        <f>29+62+9</f>
        <v>100</v>
      </c>
      <c r="AT33" s="6"/>
      <c r="AU33" s="32">
        <f t="shared" si="2"/>
        <v>35093</v>
      </c>
      <c r="AV33" s="6"/>
      <c r="AW33" s="32">
        <v>20162</v>
      </c>
    </row>
    <row r="34" spans="1:49" ht="18.75">
      <c r="A34" s="8">
        <v>28</v>
      </c>
      <c r="B34" s="6" t="s">
        <v>70</v>
      </c>
      <c r="C34" s="21">
        <v>1232.4</v>
      </c>
      <c r="D34" s="21">
        <v>372.9</v>
      </c>
      <c r="E34" s="21">
        <v>6</v>
      </c>
      <c r="F34" s="22"/>
      <c r="G34" s="22">
        <v>251.2</v>
      </c>
      <c r="H34" s="22">
        <v>2</v>
      </c>
      <c r="I34" s="22">
        <v>140</v>
      </c>
      <c r="J34" s="22">
        <v>30</v>
      </c>
      <c r="K34" s="22">
        <v>5</v>
      </c>
      <c r="L34" s="22">
        <v>3.8</v>
      </c>
      <c r="M34" s="21">
        <v>5.4</v>
      </c>
      <c r="N34" s="21"/>
      <c r="O34" s="21">
        <v>12.8</v>
      </c>
      <c r="P34" s="21">
        <v>1.8</v>
      </c>
      <c r="Q34" s="21"/>
      <c r="R34" s="21">
        <v>43.2</v>
      </c>
      <c r="S34" s="21">
        <v>14.4</v>
      </c>
      <c r="T34" s="21">
        <v>29.6</v>
      </c>
      <c r="U34" s="21">
        <v>16</v>
      </c>
      <c r="V34" s="21">
        <v>3.8</v>
      </c>
      <c r="W34" s="21">
        <v>8</v>
      </c>
      <c r="X34" s="21">
        <v>12</v>
      </c>
      <c r="Y34" s="21">
        <v>20</v>
      </c>
      <c r="Z34" s="21">
        <v>3.7</v>
      </c>
      <c r="AA34" s="21">
        <v>8.1</v>
      </c>
      <c r="AB34" s="21">
        <v>6.4</v>
      </c>
      <c r="AC34" s="21">
        <v>0.7</v>
      </c>
      <c r="AD34" s="21">
        <v>11.1</v>
      </c>
      <c r="AE34" s="21"/>
      <c r="AF34" s="21">
        <v>6</v>
      </c>
      <c r="AG34" s="21">
        <v>1</v>
      </c>
      <c r="AH34" s="21"/>
      <c r="AI34" s="21">
        <v>3.5</v>
      </c>
      <c r="AJ34" s="21">
        <v>0.3</v>
      </c>
      <c r="AK34" s="21">
        <v>12.1</v>
      </c>
      <c r="AL34" s="21"/>
      <c r="AM34" s="21">
        <v>4.8</v>
      </c>
      <c r="AN34" s="21"/>
      <c r="AO34" s="21"/>
      <c r="AP34" s="21"/>
      <c r="AQ34" s="21">
        <f t="shared" si="0"/>
        <v>2268.0000000000005</v>
      </c>
      <c r="AR34" s="21">
        <f t="shared" si="1"/>
        <v>2252.4000000000005</v>
      </c>
      <c r="AS34" s="8">
        <f>33+21+2</f>
        <v>56</v>
      </c>
      <c r="AT34" s="6"/>
      <c r="AU34" s="32">
        <f t="shared" si="2"/>
        <v>40221</v>
      </c>
      <c r="AV34" s="6"/>
      <c r="AW34" s="32">
        <v>20162</v>
      </c>
    </row>
    <row r="35" spans="1:49" ht="18.75">
      <c r="A35" s="8">
        <v>30</v>
      </c>
      <c r="B35" s="6" t="s">
        <v>72</v>
      </c>
      <c r="C35" s="21">
        <v>863.1</v>
      </c>
      <c r="D35" s="21">
        <v>261.4</v>
      </c>
      <c r="E35" s="21">
        <v>6</v>
      </c>
      <c r="F35" s="22"/>
      <c r="G35" s="22">
        <v>152.9</v>
      </c>
      <c r="H35" s="22"/>
      <c r="I35" s="22">
        <v>250</v>
      </c>
      <c r="J35" s="22">
        <v>0</v>
      </c>
      <c r="K35" s="22"/>
      <c r="L35" s="22">
        <v>4.2</v>
      </c>
      <c r="M35" s="21">
        <v>7.6</v>
      </c>
      <c r="N35" s="21"/>
      <c r="O35" s="21">
        <v>12.8</v>
      </c>
      <c r="P35" s="21">
        <v>0.9</v>
      </c>
      <c r="Q35" s="21"/>
      <c r="R35" s="21">
        <v>43.2</v>
      </c>
      <c r="S35" s="21">
        <v>12</v>
      </c>
      <c r="T35" s="21">
        <v>14.8</v>
      </c>
      <c r="U35" s="21">
        <v>8</v>
      </c>
      <c r="V35" s="21">
        <v>0.2</v>
      </c>
      <c r="W35" s="21">
        <v>5.8</v>
      </c>
      <c r="X35" s="21">
        <v>12</v>
      </c>
      <c r="Y35" s="21">
        <v>6.4</v>
      </c>
      <c r="Z35" s="21">
        <v>2.3</v>
      </c>
      <c r="AA35" s="21">
        <f>4.1+5.4</f>
        <v>9.5</v>
      </c>
      <c r="AB35" s="21">
        <v>6.4</v>
      </c>
      <c r="AC35" s="21">
        <v>0.5</v>
      </c>
      <c r="AD35" s="21">
        <v>9.2</v>
      </c>
      <c r="AE35" s="21"/>
      <c r="AF35" s="21">
        <v>6</v>
      </c>
      <c r="AG35" s="21">
        <v>1</v>
      </c>
      <c r="AH35" s="21"/>
      <c r="AI35" s="21">
        <v>0.1</v>
      </c>
      <c r="AJ35" s="21">
        <v>0.3</v>
      </c>
      <c r="AK35" s="21">
        <v>2.3</v>
      </c>
      <c r="AL35" s="21"/>
      <c r="AM35" s="21"/>
      <c r="AN35" s="21"/>
      <c r="AO35" s="21"/>
      <c r="AP35" s="21"/>
      <c r="AQ35" s="21">
        <f t="shared" si="0"/>
        <v>1698.9</v>
      </c>
      <c r="AR35" s="21">
        <f t="shared" si="1"/>
        <v>1696.5000000000002</v>
      </c>
      <c r="AS35" s="8">
        <f>12+17</f>
        <v>29</v>
      </c>
      <c r="AT35" s="8">
        <v>12</v>
      </c>
      <c r="AU35" s="32">
        <f t="shared" si="2"/>
        <v>41378</v>
      </c>
      <c r="AV35" s="6"/>
      <c r="AW35" s="32">
        <v>20162</v>
      </c>
    </row>
    <row r="36" spans="1:49" ht="18.75">
      <c r="A36" s="8">
        <v>29</v>
      </c>
      <c r="B36" s="6" t="s">
        <v>55</v>
      </c>
      <c r="C36" s="21">
        <v>621.9</v>
      </c>
      <c r="D36" s="21">
        <v>188.6</v>
      </c>
      <c r="E36" s="21">
        <v>6</v>
      </c>
      <c r="F36" s="22"/>
      <c r="G36" s="22">
        <v>145.2</v>
      </c>
      <c r="H36" s="22"/>
      <c r="I36" s="22">
        <v>120</v>
      </c>
      <c r="J36" s="22">
        <v>0</v>
      </c>
      <c r="K36" s="22"/>
      <c r="L36" s="22">
        <v>2.1</v>
      </c>
      <c r="M36" s="21">
        <v>6.1</v>
      </c>
      <c r="N36" s="21"/>
      <c r="O36" s="21">
        <v>12.8</v>
      </c>
      <c r="P36" s="21">
        <v>0.4</v>
      </c>
      <c r="Q36" s="21"/>
      <c r="R36" s="21">
        <v>43.2</v>
      </c>
      <c r="S36" s="21">
        <v>10.8</v>
      </c>
      <c r="T36" s="21">
        <v>14.8</v>
      </c>
      <c r="U36" s="21">
        <v>8</v>
      </c>
      <c r="V36" s="21">
        <v>4</v>
      </c>
      <c r="W36" s="21">
        <v>3.6</v>
      </c>
      <c r="X36" s="21">
        <v>12</v>
      </c>
      <c r="Y36" s="21">
        <v>15</v>
      </c>
      <c r="Z36" s="21">
        <v>2.5</v>
      </c>
      <c r="AA36" s="21">
        <v>4.4</v>
      </c>
      <c r="AB36" s="21">
        <v>9.6</v>
      </c>
      <c r="AC36" s="21">
        <v>0</v>
      </c>
      <c r="AD36" s="21">
        <v>8.3</v>
      </c>
      <c r="AE36" s="21"/>
      <c r="AF36" s="21">
        <v>6</v>
      </c>
      <c r="AG36" s="21">
        <v>1</v>
      </c>
      <c r="AH36" s="21"/>
      <c r="AI36" s="21">
        <v>0</v>
      </c>
      <c r="AJ36" s="21">
        <v>0.3</v>
      </c>
      <c r="AK36" s="21">
        <v>6.7</v>
      </c>
      <c r="AL36" s="21">
        <v>2.5</v>
      </c>
      <c r="AM36" s="21"/>
      <c r="AN36" s="21"/>
      <c r="AO36" s="21"/>
      <c r="AP36" s="21"/>
      <c r="AQ36" s="21">
        <f t="shared" si="0"/>
        <v>1255.7999999999997</v>
      </c>
      <c r="AR36" s="21">
        <f t="shared" si="1"/>
        <v>1246.5999999999997</v>
      </c>
      <c r="AS36" s="8">
        <f>11+17</f>
        <v>28</v>
      </c>
      <c r="AT36" s="6"/>
      <c r="AU36" s="32">
        <f t="shared" si="2"/>
        <v>44521</v>
      </c>
      <c r="AV36" s="6"/>
      <c r="AW36" s="32">
        <v>20162</v>
      </c>
    </row>
    <row r="37" spans="1:49" ht="18.75">
      <c r="A37" s="8">
        <v>33</v>
      </c>
      <c r="B37" s="6" t="s">
        <v>62</v>
      </c>
      <c r="C37" s="21">
        <v>1030.7</v>
      </c>
      <c r="D37" s="21">
        <v>283.9</v>
      </c>
      <c r="E37" s="21">
        <v>6</v>
      </c>
      <c r="F37" s="22"/>
      <c r="G37" s="22">
        <v>258.7</v>
      </c>
      <c r="H37" s="22"/>
      <c r="I37" s="22">
        <v>230</v>
      </c>
      <c r="J37" s="22">
        <v>0</v>
      </c>
      <c r="K37" s="22"/>
      <c r="L37" s="22">
        <v>2.1</v>
      </c>
      <c r="M37" s="21">
        <v>5.4</v>
      </c>
      <c r="N37" s="21"/>
      <c r="O37" s="21">
        <v>12.8</v>
      </c>
      <c r="P37" s="21">
        <v>0.4</v>
      </c>
      <c r="Q37" s="21">
        <v>40.4</v>
      </c>
      <c r="R37" s="21">
        <v>43.2</v>
      </c>
      <c r="S37" s="21">
        <v>12</v>
      </c>
      <c r="T37" s="21">
        <v>14.8</v>
      </c>
      <c r="U37" s="21">
        <v>8</v>
      </c>
      <c r="V37" s="21">
        <v>4.5</v>
      </c>
      <c r="W37" s="21">
        <v>7.3</v>
      </c>
      <c r="X37" s="21">
        <v>12</v>
      </c>
      <c r="Y37" s="21">
        <v>15</v>
      </c>
      <c r="Z37" s="21">
        <v>2.3</v>
      </c>
      <c r="AA37" s="21">
        <f>3.9+5.4</f>
        <v>9.3</v>
      </c>
      <c r="AB37" s="21">
        <v>6.4</v>
      </c>
      <c r="AC37" s="21">
        <v>1.3</v>
      </c>
      <c r="AD37" s="21">
        <v>12.2</v>
      </c>
      <c r="AE37" s="21"/>
      <c r="AF37" s="21">
        <v>6</v>
      </c>
      <c r="AG37" s="21">
        <v>3</v>
      </c>
      <c r="AH37" s="21"/>
      <c r="AI37" s="21">
        <v>34.4</v>
      </c>
      <c r="AJ37" s="21">
        <v>0</v>
      </c>
      <c r="AK37" s="21">
        <v>6.7</v>
      </c>
      <c r="AL37" s="21"/>
      <c r="AM37" s="21"/>
      <c r="AN37" s="21"/>
      <c r="AO37" s="21"/>
      <c r="AP37" s="21"/>
      <c r="AQ37" s="21">
        <f t="shared" si="0"/>
        <v>2068.7999999999997</v>
      </c>
      <c r="AR37" s="21">
        <f t="shared" si="1"/>
        <v>2027.6999999999996</v>
      </c>
      <c r="AS37" s="8">
        <f>16+12</f>
        <v>28</v>
      </c>
      <c r="AT37" s="8">
        <v>15</v>
      </c>
      <c r="AU37" s="32">
        <f t="shared" si="2"/>
        <v>47156</v>
      </c>
      <c r="AV37" s="6"/>
      <c r="AW37" s="32">
        <v>20162</v>
      </c>
    </row>
    <row r="38" spans="1:49" ht="18.75">
      <c r="A38" s="8">
        <v>31</v>
      </c>
      <c r="B38" s="6" t="s">
        <v>69</v>
      </c>
      <c r="C38" s="21">
        <v>1067.5</v>
      </c>
      <c r="D38" s="21">
        <v>323.1</v>
      </c>
      <c r="E38" s="21">
        <v>6</v>
      </c>
      <c r="F38" s="22"/>
      <c r="G38" s="22"/>
      <c r="H38" s="22"/>
      <c r="I38" s="22">
        <v>130</v>
      </c>
      <c r="J38" s="22">
        <v>0</v>
      </c>
      <c r="K38" s="22"/>
      <c r="L38" s="22">
        <v>3.8</v>
      </c>
      <c r="M38" s="21">
        <v>7.2</v>
      </c>
      <c r="N38" s="21"/>
      <c r="O38" s="21">
        <v>12.8</v>
      </c>
      <c r="P38" s="21">
        <v>0.4</v>
      </c>
      <c r="Q38" s="21"/>
      <c r="R38" s="21">
        <v>43.2</v>
      </c>
      <c r="S38" s="21">
        <v>12</v>
      </c>
      <c r="T38" s="21">
        <v>14.8</v>
      </c>
      <c r="U38" s="21"/>
      <c r="V38" s="21">
        <v>4.5</v>
      </c>
      <c r="W38" s="21">
        <v>6.1</v>
      </c>
      <c r="X38" s="21">
        <v>12</v>
      </c>
      <c r="Y38" s="21"/>
      <c r="Z38" s="21">
        <v>2.4</v>
      </c>
      <c r="AA38" s="21">
        <v>3.9</v>
      </c>
      <c r="AB38" s="21">
        <v>6.4</v>
      </c>
      <c r="AC38" s="21">
        <v>1.6</v>
      </c>
      <c r="AD38" s="21">
        <v>17.5</v>
      </c>
      <c r="AE38" s="21"/>
      <c r="AF38" s="21">
        <v>6</v>
      </c>
      <c r="AG38" s="21">
        <v>1</v>
      </c>
      <c r="AH38" s="21"/>
      <c r="AI38" s="21">
        <v>0</v>
      </c>
      <c r="AJ38" s="21">
        <v>0.3</v>
      </c>
      <c r="AK38" s="21">
        <v>5.4</v>
      </c>
      <c r="AL38" s="21">
        <v>5.2</v>
      </c>
      <c r="AM38" s="21"/>
      <c r="AN38" s="21">
        <v>695</v>
      </c>
      <c r="AO38" s="21">
        <v>5</v>
      </c>
      <c r="AP38" s="21"/>
      <c r="AQ38" s="21">
        <f t="shared" si="0"/>
        <v>2393.1000000000004</v>
      </c>
      <c r="AR38" s="21">
        <f t="shared" si="1"/>
        <v>2382.5000000000005</v>
      </c>
      <c r="AS38" s="8">
        <f>16+23</f>
        <v>39</v>
      </c>
      <c r="AT38" s="6"/>
      <c r="AU38" s="32">
        <f t="shared" si="2"/>
        <v>61090</v>
      </c>
      <c r="AV38" s="6"/>
      <c r="AW38" s="32">
        <v>20162</v>
      </c>
    </row>
    <row r="39" spans="1:49" ht="18.75">
      <c r="A39" s="8">
        <v>32</v>
      </c>
      <c r="B39" s="6" t="s">
        <v>67</v>
      </c>
      <c r="C39" s="21">
        <v>1398.3</v>
      </c>
      <c r="D39" s="21">
        <v>423</v>
      </c>
      <c r="E39" s="21">
        <v>6</v>
      </c>
      <c r="F39" s="22"/>
      <c r="G39" s="22"/>
      <c r="H39" s="22">
        <v>2</v>
      </c>
      <c r="I39" s="22">
        <v>200</v>
      </c>
      <c r="J39" s="22">
        <v>10</v>
      </c>
      <c r="K39" s="22"/>
      <c r="L39" s="22">
        <v>4.6</v>
      </c>
      <c r="M39" s="21">
        <v>8.1</v>
      </c>
      <c r="N39" s="21"/>
      <c r="O39" s="21">
        <v>12.8</v>
      </c>
      <c r="P39" s="21">
        <v>0.4</v>
      </c>
      <c r="Q39" s="21">
        <v>46.4</v>
      </c>
      <c r="R39" s="21">
        <v>43.2</v>
      </c>
      <c r="S39" s="21">
        <v>12</v>
      </c>
      <c r="T39" s="21">
        <v>29.6</v>
      </c>
      <c r="U39" s="21"/>
      <c r="V39" s="21">
        <v>4.5</v>
      </c>
      <c r="W39" s="21">
        <v>6.5</v>
      </c>
      <c r="X39" s="21">
        <v>12</v>
      </c>
      <c r="Y39" s="21"/>
      <c r="Z39" s="21">
        <v>2.5</v>
      </c>
      <c r="AA39" s="21">
        <v>10.9</v>
      </c>
      <c r="AB39" s="21">
        <v>4.8</v>
      </c>
      <c r="AC39" s="21">
        <v>2.2</v>
      </c>
      <c r="AD39" s="21">
        <v>12.1</v>
      </c>
      <c r="AE39" s="21"/>
      <c r="AF39" s="21">
        <v>6</v>
      </c>
      <c r="AG39" s="21">
        <v>1</v>
      </c>
      <c r="AH39" s="21">
        <v>34.7</v>
      </c>
      <c r="AI39" s="21">
        <v>20</v>
      </c>
      <c r="AJ39" s="21">
        <v>0.3</v>
      </c>
      <c r="AK39" s="21">
        <v>5.8</v>
      </c>
      <c r="AL39" s="21">
        <v>2.4</v>
      </c>
      <c r="AM39" s="21"/>
      <c r="AN39" s="21">
        <v>1120</v>
      </c>
      <c r="AO39" s="21">
        <v>5</v>
      </c>
      <c r="AP39" s="21"/>
      <c r="AQ39" s="21">
        <f t="shared" si="0"/>
        <v>3447.1000000000004</v>
      </c>
      <c r="AR39" s="21">
        <f t="shared" si="1"/>
        <v>3384.2000000000003</v>
      </c>
      <c r="AS39" s="8">
        <f>19+1+25+1</f>
        <v>46</v>
      </c>
      <c r="AT39" s="8">
        <v>6</v>
      </c>
      <c r="AU39" s="32">
        <f t="shared" si="2"/>
        <v>65081</v>
      </c>
      <c r="AV39" s="6"/>
      <c r="AW39" s="32">
        <v>20162</v>
      </c>
    </row>
    <row r="40" spans="1:49" ht="18.75">
      <c r="A40" s="8">
        <v>36</v>
      </c>
      <c r="B40" s="6" t="s">
        <v>61</v>
      </c>
      <c r="C40" s="21">
        <v>1798.8</v>
      </c>
      <c r="D40" s="21">
        <v>544</v>
      </c>
      <c r="E40" s="21">
        <v>6</v>
      </c>
      <c r="F40" s="22"/>
      <c r="G40" s="22"/>
      <c r="H40" s="22"/>
      <c r="I40" s="22">
        <v>1000</v>
      </c>
      <c r="J40" s="22">
        <v>0</v>
      </c>
      <c r="K40" s="22"/>
      <c r="L40" s="22">
        <v>5.5</v>
      </c>
      <c r="M40" s="21">
        <v>12</v>
      </c>
      <c r="N40" s="21"/>
      <c r="O40" s="21">
        <v>12.8</v>
      </c>
      <c r="P40" s="21">
        <v>0.4</v>
      </c>
      <c r="Q40" s="21"/>
      <c r="R40" s="21">
        <v>43.2</v>
      </c>
      <c r="S40" s="21">
        <v>12</v>
      </c>
      <c r="T40" s="21">
        <v>14.8</v>
      </c>
      <c r="U40" s="21"/>
      <c r="V40" s="21">
        <v>5.8</v>
      </c>
      <c r="W40" s="21">
        <v>8.2</v>
      </c>
      <c r="X40" s="21">
        <v>12</v>
      </c>
      <c r="Y40" s="21"/>
      <c r="Z40" s="21">
        <v>1.1</v>
      </c>
      <c r="AA40" s="21">
        <f>4.4+5.4</f>
        <v>9.8</v>
      </c>
      <c r="AB40" s="21">
        <v>8</v>
      </c>
      <c r="AC40" s="21">
        <v>2</v>
      </c>
      <c r="AD40" s="21">
        <v>18.5</v>
      </c>
      <c r="AE40" s="21"/>
      <c r="AF40" s="21">
        <v>6</v>
      </c>
      <c r="AG40" s="21">
        <v>1</v>
      </c>
      <c r="AH40" s="21"/>
      <c r="AI40" s="21">
        <f>719.2+25.8-2</f>
        <v>743</v>
      </c>
      <c r="AJ40" s="21">
        <v>0.3</v>
      </c>
      <c r="AK40" s="21">
        <v>11.1</v>
      </c>
      <c r="AL40" s="21">
        <v>5.5</v>
      </c>
      <c r="AM40" s="21">
        <v>9.5</v>
      </c>
      <c r="AN40" s="21">
        <v>3585</v>
      </c>
      <c r="AO40" s="21">
        <v>5</v>
      </c>
      <c r="AP40" s="21"/>
      <c r="AQ40" s="21">
        <f t="shared" si="0"/>
        <v>7881.300000000001</v>
      </c>
      <c r="AR40" s="21">
        <f t="shared" si="1"/>
        <v>7121.700000000001</v>
      </c>
      <c r="AS40" s="8">
        <f>39+2+37+4</f>
        <v>82</v>
      </c>
      <c r="AT40" s="8">
        <v>19</v>
      </c>
      <c r="AU40" s="32">
        <f t="shared" si="2"/>
        <v>70512</v>
      </c>
      <c r="AV40" s="6"/>
      <c r="AW40" s="32">
        <v>20162</v>
      </c>
    </row>
    <row r="41" spans="1:49" ht="18.75">
      <c r="A41" s="45">
        <v>34</v>
      </c>
      <c r="B41" s="46" t="s">
        <v>73</v>
      </c>
      <c r="C41" s="47">
        <v>1056.8</v>
      </c>
      <c r="D41" s="47">
        <v>319.9</v>
      </c>
      <c r="E41" s="47">
        <v>6</v>
      </c>
      <c r="F41" s="48"/>
      <c r="G41" s="48"/>
      <c r="H41" s="48"/>
      <c r="I41" s="48">
        <v>400</v>
      </c>
      <c r="J41" s="48">
        <v>0</v>
      </c>
      <c r="K41" s="48"/>
      <c r="L41" s="48">
        <v>2.9</v>
      </c>
      <c r="M41" s="47">
        <v>11</v>
      </c>
      <c r="N41" s="47"/>
      <c r="O41" s="47">
        <v>12.8</v>
      </c>
      <c r="P41" s="47">
        <v>1.3</v>
      </c>
      <c r="Q41" s="47"/>
      <c r="R41" s="47">
        <v>43.2</v>
      </c>
      <c r="S41" s="47">
        <v>12</v>
      </c>
      <c r="T41" s="47">
        <v>14.8</v>
      </c>
      <c r="U41" s="47"/>
      <c r="V41" s="47">
        <v>4.5</v>
      </c>
      <c r="W41" s="47">
        <v>7.7</v>
      </c>
      <c r="X41" s="47">
        <v>12</v>
      </c>
      <c r="Y41" s="47"/>
      <c r="Z41" s="47">
        <v>2.1</v>
      </c>
      <c r="AA41" s="47">
        <v>3.9</v>
      </c>
      <c r="AB41" s="47">
        <v>6.4</v>
      </c>
      <c r="AC41" s="47">
        <v>0.5</v>
      </c>
      <c r="AD41" s="47">
        <v>7.1</v>
      </c>
      <c r="AE41" s="47"/>
      <c r="AF41" s="47">
        <v>6</v>
      </c>
      <c r="AG41" s="47">
        <v>1</v>
      </c>
      <c r="AH41" s="47"/>
      <c r="AI41" s="47">
        <v>0</v>
      </c>
      <c r="AJ41" s="47">
        <v>0.3</v>
      </c>
      <c r="AK41" s="47">
        <v>8.1</v>
      </c>
      <c r="AL41" s="47">
        <v>4.9</v>
      </c>
      <c r="AM41" s="47">
        <v>4.8</v>
      </c>
      <c r="AN41" s="47">
        <v>1572</v>
      </c>
      <c r="AO41" s="47">
        <v>5</v>
      </c>
      <c r="AP41" s="47"/>
      <c r="AQ41" s="47">
        <f t="shared" si="0"/>
        <v>3527</v>
      </c>
      <c r="AR41" s="47">
        <f t="shared" si="1"/>
        <v>3514</v>
      </c>
      <c r="AS41" s="45">
        <f>21+2+25</f>
        <v>48</v>
      </c>
      <c r="AT41" s="46"/>
      <c r="AU41" s="49">
        <f t="shared" si="2"/>
        <v>73208</v>
      </c>
      <c r="AV41" s="46"/>
      <c r="AW41" s="49">
        <v>20162</v>
      </c>
    </row>
    <row r="42" spans="1:49" ht="18.75">
      <c r="A42" s="8">
        <v>35</v>
      </c>
      <c r="B42" s="6" t="s">
        <v>74</v>
      </c>
      <c r="C42" s="21">
        <v>1069.8</v>
      </c>
      <c r="D42" s="21">
        <v>323.8</v>
      </c>
      <c r="E42" s="21">
        <v>6</v>
      </c>
      <c r="F42" s="21"/>
      <c r="G42" s="21"/>
      <c r="H42" s="21"/>
      <c r="I42" s="21">
        <v>160</v>
      </c>
      <c r="J42" s="21">
        <v>0</v>
      </c>
      <c r="K42" s="21"/>
      <c r="L42" s="21">
        <v>2.1</v>
      </c>
      <c r="M42" s="21">
        <v>13.1</v>
      </c>
      <c r="N42" s="21"/>
      <c r="O42" s="21">
        <v>12.8</v>
      </c>
      <c r="P42" s="21">
        <v>0.9</v>
      </c>
      <c r="Q42" s="21"/>
      <c r="R42" s="21">
        <v>43.2</v>
      </c>
      <c r="S42" s="21">
        <v>12</v>
      </c>
      <c r="T42" s="21">
        <v>14.8</v>
      </c>
      <c r="U42" s="21"/>
      <c r="V42" s="21">
        <v>4.5</v>
      </c>
      <c r="W42" s="21">
        <v>4</v>
      </c>
      <c r="X42" s="21">
        <v>12</v>
      </c>
      <c r="Y42" s="21"/>
      <c r="Z42" s="21">
        <v>1.7</v>
      </c>
      <c r="AA42" s="21">
        <v>5.8</v>
      </c>
      <c r="AB42" s="21">
        <v>8</v>
      </c>
      <c r="AC42" s="21">
        <v>1.8</v>
      </c>
      <c r="AD42" s="21">
        <v>15.4</v>
      </c>
      <c r="AE42" s="21"/>
      <c r="AF42" s="21">
        <v>6</v>
      </c>
      <c r="AG42" s="21">
        <v>1</v>
      </c>
      <c r="AH42" s="21"/>
      <c r="AI42" s="21">
        <v>0</v>
      </c>
      <c r="AJ42" s="21">
        <v>0.1</v>
      </c>
      <c r="AK42" s="21">
        <v>4.8</v>
      </c>
      <c r="AL42" s="21">
        <v>2.5</v>
      </c>
      <c r="AM42" s="21">
        <v>2.9</v>
      </c>
      <c r="AN42" s="21">
        <v>1078</v>
      </c>
      <c r="AO42" s="21">
        <v>5</v>
      </c>
      <c r="AP42" s="21"/>
      <c r="AQ42" s="21">
        <f t="shared" si="0"/>
        <v>2812</v>
      </c>
      <c r="AR42" s="21">
        <f t="shared" si="1"/>
        <v>2804.7</v>
      </c>
      <c r="AS42" s="8">
        <f>19+18</f>
        <v>37</v>
      </c>
      <c r="AT42" s="6"/>
      <c r="AU42" s="32">
        <f t="shared" si="2"/>
        <v>75803</v>
      </c>
      <c r="AV42" s="6"/>
      <c r="AW42" s="32">
        <v>20162</v>
      </c>
    </row>
    <row r="43" spans="1:49" ht="18.75">
      <c r="A43" s="8">
        <v>37</v>
      </c>
      <c r="B43" s="6" t="s">
        <v>57</v>
      </c>
      <c r="C43" s="21">
        <v>1164</v>
      </c>
      <c r="D43" s="21">
        <v>352.3</v>
      </c>
      <c r="E43" s="21">
        <v>6</v>
      </c>
      <c r="F43" s="21"/>
      <c r="G43" s="21"/>
      <c r="H43" s="21"/>
      <c r="I43" s="21">
        <v>200</v>
      </c>
      <c r="J43" s="21">
        <v>0</v>
      </c>
      <c r="K43" s="21"/>
      <c r="L43" s="21">
        <v>2.5</v>
      </c>
      <c r="M43" s="21">
        <v>7.4</v>
      </c>
      <c r="N43" s="21"/>
      <c r="O43" s="21">
        <v>12.8</v>
      </c>
      <c r="P43" s="21">
        <v>0.4</v>
      </c>
      <c r="Q43" s="21"/>
      <c r="R43" s="21">
        <v>43.2</v>
      </c>
      <c r="S43" s="21">
        <v>12</v>
      </c>
      <c r="T43" s="21">
        <v>14.8</v>
      </c>
      <c r="U43" s="21"/>
      <c r="V43" s="21">
        <v>4.5</v>
      </c>
      <c r="W43" s="21">
        <v>4</v>
      </c>
      <c r="X43" s="21">
        <v>12</v>
      </c>
      <c r="Y43" s="21"/>
      <c r="Z43" s="21">
        <v>2.9</v>
      </c>
      <c r="AA43" s="21">
        <v>4.4</v>
      </c>
      <c r="AB43" s="21">
        <v>8</v>
      </c>
      <c r="AC43" s="21">
        <v>1.6</v>
      </c>
      <c r="AD43" s="21">
        <v>14.2</v>
      </c>
      <c r="AE43" s="21"/>
      <c r="AF43" s="21">
        <v>6</v>
      </c>
      <c r="AG43" s="21">
        <v>1</v>
      </c>
      <c r="AH43" s="21"/>
      <c r="AI43" s="21">
        <v>8.2</v>
      </c>
      <c r="AJ43" s="21">
        <v>0.3</v>
      </c>
      <c r="AK43" s="21">
        <v>3.4</v>
      </c>
      <c r="AL43" s="21">
        <v>7.9</v>
      </c>
      <c r="AM43" s="21">
        <v>4.8</v>
      </c>
      <c r="AN43" s="21">
        <v>1295</v>
      </c>
      <c r="AO43" s="21">
        <v>5</v>
      </c>
      <c r="AP43" s="21"/>
      <c r="AQ43" s="21">
        <f t="shared" si="0"/>
        <v>3198.6000000000004</v>
      </c>
      <c r="AR43" s="21">
        <f t="shared" si="1"/>
        <v>3179.1000000000004</v>
      </c>
      <c r="AS43" s="8">
        <f>17+14+2</f>
        <v>33</v>
      </c>
      <c r="AT43" s="6"/>
      <c r="AU43" s="32">
        <f t="shared" si="2"/>
        <v>96336</v>
      </c>
      <c r="AV43" s="6"/>
      <c r="AW43" s="32">
        <v>20162</v>
      </c>
    </row>
    <row r="44" spans="3:46" s="50" customFormat="1" ht="18.7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2"/>
      <c r="AT44" s="52"/>
    </row>
    <row r="45" spans="3:43" ht="18.75">
      <c r="C45" s="10"/>
      <c r="D45" s="10"/>
      <c r="E45" s="10"/>
      <c r="F45" s="69"/>
      <c r="G45" s="69"/>
      <c r="H45" s="69"/>
      <c r="I45" s="69"/>
      <c r="J45" s="69"/>
      <c r="K45" s="69"/>
      <c r="L45" s="69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69"/>
      <c r="AJ45" s="69"/>
      <c r="AK45" s="69"/>
      <c r="AL45" s="69"/>
      <c r="AM45" s="10"/>
      <c r="AN45" s="10"/>
      <c r="AO45" s="10"/>
      <c r="AP45" s="10"/>
      <c r="AQ45" s="10"/>
    </row>
    <row r="46" spans="3:43" ht="18.75">
      <c r="C46" s="10"/>
      <c r="I46" s="10"/>
      <c r="K46" s="11"/>
      <c r="AC46" s="10"/>
      <c r="AK46" s="10"/>
      <c r="AQ46" s="10"/>
    </row>
    <row r="47" spans="3:43" ht="18.75">
      <c r="C47" s="10"/>
      <c r="G47" s="13"/>
      <c r="H47" s="10"/>
      <c r="I47" s="10"/>
      <c r="K47" s="11"/>
      <c r="AQ47" s="10"/>
    </row>
    <row r="48" spans="4:43" ht="18.75">
      <c r="D48" s="10"/>
      <c r="H48" s="10"/>
      <c r="I48" s="10"/>
      <c r="K48" s="11"/>
      <c r="AQ48" s="10"/>
    </row>
    <row r="49" spans="3:8" ht="18.75">
      <c r="C49" s="10"/>
      <c r="E49" s="11"/>
      <c r="H49" s="10"/>
    </row>
  </sheetData>
  <sheetProtection/>
  <autoFilter ref="AU6:AU43">
    <sortState ref="AU7:AU49">
      <sortCondition sortBy="value" ref="AU7:AU49"/>
    </sortState>
  </autoFilter>
  <mergeCells count="20">
    <mergeCell ref="F45:L45"/>
    <mergeCell ref="AI45:AL45"/>
    <mergeCell ref="K6:L6"/>
    <mergeCell ref="N6:R6"/>
    <mergeCell ref="U6:Y6"/>
    <mergeCell ref="AC6:AH6"/>
    <mergeCell ref="AI6:AL6"/>
    <mergeCell ref="AN6:AO6"/>
    <mergeCell ref="AR4:AR5"/>
    <mergeCell ref="AS4:AS5"/>
    <mergeCell ref="AT4:AT5"/>
    <mergeCell ref="AU4:AU5"/>
    <mergeCell ref="AV4:AV5"/>
    <mergeCell ref="AW4:AW5"/>
    <mergeCell ref="N1:R1"/>
    <mergeCell ref="C2:R2"/>
    <mergeCell ref="A4:A5"/>
    <mergeCell ref="B4:B5"/>
    <mergeCell ref="C4:R4"/>
    <mergeCell ref="AQ4:AQ5"/>
  </mergeCells>
  <printOptions horizontalCentered="1"/>
  <pageMargins left="0" right="0" top="0" bottom="0" header="0.5118110236220472" footer="0.5118110236220472"/>
  <pageSetup horizontalDpi="600" verticalDpi="600" orientation="landscape" paperSize="9" scale="50" r:id="rId1"/>
  <colBreaks count="3" manualBreakCount="3">
    <brk id="18" max="42" man="1"/>
    <brk id="31" max="42" man="1"/>
    <brk id="4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W49"/>
  <sheetViews>
    <sheetView view="pageBreakPreview" zoomScale="80" zoomScaleNormal="70" zoomScaleSheetLayoutView="8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8.88671875" defaultRowHeight="18.75"/>
  <cols>
    <col min="2" max="2" width="32.88671875" style="0" customWidth="1"/>
    <col min="3" max="3" width="9.88671875" style="0" bestFit="1" customWidth="1"/>
    <col min="4" max="4" width="10.5546875" style="4" customWidth="1"/>
    <col min="5" max="5" width="9.88671875" style="4" bestFit="1" customWidth="1"/>
    <col min="6" max="7" width="8.99609375" style="4" bestFit="1" customWidth="1"/>
    <col min="8" max="8" width="9.88671875" style="4" bestFit="1" customWidth="1"/>
    <col min="9" max="9" width="8.99609375" style="4" bestFit="1" customWidth="1"/>
    <col min="10" max="10" width="12.3359375" style="4" customWidth="1"/>
    <col min="11" max="11" width="8.99609375" style="4" bestFit="1" customWidth="1"/>
    <col min="12" max="12" width="8.99609375" style="4" customWidth="1"/>
    <col min="13" max="13" width="13.3359375" style="0" customWidth="1"/>
    <col min="14" max="14" width="12.3359375" style="0" customWidth="1"/>
    <col min="15" max="15" width="13.77734375" style="0" customWidth="1"/>
    <col min="16" max="16" width="19.10546875" style="2" customWidth="1"/>
    <col min="17" max="17" width="21.4453125" style="0" customWidth="1"/>
    <col min="18" max="18" width="19.21484375" style="0" customWidth="1"/>
    <col min="19" max="19" width="17.3359375" style="0" customWidth="1"/>
    <col min="20" max="20" width="20.21484375" style="0" customWidth="1"/>
    <col min="21" max="21" width="19.21484375" style="0" customWidth="1"/>
    <col min="22" max="22" width="18.88671875" style="0" customWidth="1"/>
  </cols>
  <sheetData>
    <row r="1" spans="13:49" s="4" customFormat="1" ht="18.75">
      <c r="M1" s="58" t="s">
        <v>98</v>
      </c>
      <c r="N1" s="58"/>
      <c r="O1" s="58"/>
      <c r="P1" s="58"/>
      <c r="Q1" s="43"/>
      <c r="AU1" s="44"/>
      <c r="AV1" s="44"/>
      <c r="AW1" s="44"/>
    </row>
    <row r="2" spans="2:49" s="18" customFormat="1" ht="57" customHeight="1">
      <c r="B2" s="77"/>
      <c r="C2" s="59" t="s">
        <v>46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0"/>
      <c r="R2" s="20"/>
      <c r="AU2" s="19"/>
      <c r="AV2" s="19"/>
      <c r="AW2" s="19"/>
    </row>
    <row r="3" s="4" customFormat="1" ht="18.75"/>
    <row r="4" spans="1:22" s="4" customFormat="1" ht="67.5" customHeight="1">
      <c r="A4" s="60" t="s">
        <v>0</v>
      </c>
      <c r="B4" s="62" t="s">
        <v>45</v>
      </c>
      <c r="C4" s="63" t="s">
        <v>44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 t="s">
        <v>41</v>
      </c>
      <c r="Q4" s="65" t="s">
        <v>48</v>
      </c>
      <c r="R4" s="65" t="s">
        <v>49</v>
      </c>
      <c r="S4" s="65" t="s">
        <v>50</v>
      </c>
      <c r="T4" s="65" t="s">
        <v>51</v>
      </c>
      <c r="U4" s="57" t="s">
        <v>52</v>
      </c>
      <c r="V4" s="57" t="s">
        <v>53</v>
      </c>
    </row>
    <row r="5" spans="1:22" s="4" customFormat="1" ht="98.25" customHeight="1">
      <c r="A5" s="61"/>
      <c r="B5" s="62"/>
      <c r="C5" s="14" t="s">
        <v>2</v>
      </c>
      <c r="D5" s="14" t="s">
        <v>12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32</v>
      </c>
      <c r="M5" s="14" t="s">
        <v>38</v>
      </c>
      <c r="N5" s="14" t="s">
        <v>39</v>
      </c>
      <c r="O5" s="14" t="s">
        <v>40</v>
      </c>
      <c r="P5" s="66"/>
      <c r="Q5" s="66"/>
      <c r="R5" s="66"/>
      <c r="S5" s="66"/>
      <c r="T5" s="66"/>
      <c r="U5" s="57"/>
      <c r="V5" s="57"/>
    </row>
    <row r="6" spans="1:16" s="4" customFormat="1" ht="16.5" customHeight="1">
      <c r="A6" s="6"/>
      <c r="B6" s="6"/>
      <c r="C6" s="8"/>
      <c r="D6" s="8"/>
      <c r="E6" s="9"/>
      <c r="F6" s="9"/>
      <c r="G6" s="9"/>
      <c r="H6" s="9"/>
      <c r="I6" s="9"/>
      <c r="J6" s="67"/>
      <c r="K6" s="68"/>
      <c r="L6" s="26"/>
      <c r="M6" s="67"/>
      <c r="N6" s="68"/>
      <c r="O6" s="9"/>
      <c r="P6" s="6"/>
    </row>
    <row r="7" spans="1:22" s="4" customFormat="1" ht="18.75">
      <c r="A7" s="8">
        <v>1</v>
      </c>
      <c r="B7" s="6" t="s">
        <v>87</v>
      </c>
      <c r="C7" s="21">
        <v>1040.4</v>
      </c>
      <c r="D7" s="21">
        <v>314.2</v>
      </c>
      <c r="E7" s="21">
        <v>1946.4</v>
      </c>
      <c r="F7" s="22"/>
      <c r="G7" s="21"/>
      <c r="H7" s="21">
        <v>504.4</v>
      </c>
      <c r="I7" s="21">
        <v>210</v>
      </c>
      <c r="J7" s="21">
        <v>141.4</v>
      </c>
      <c r="K7" s="21">
        <v>41.2</v>
      </c>
      <c r="L7" s="21"/>
      <c r="M7" s="21"/>
      <c r="N7" s="21"/>
      <c r="O7" s="21"/>
      <c r="P7" s="21">
        <f aca="true" t="shared" si="0" ref="P7:P43">SUM(C7:O7)</f>
        <v>4198</v>
      </c>
      <c r="Q7" s="21">
        <f aca="true" t="shared" si="1" ref="Q7:Q43">P7-L7</f>
        <v>4198</v>
      </c>
      <c r="R7" s="8">
        <f>340+1+403+8+81</f>
        <v>833</v>
      </c>
      <c r="S7" s="6"/>
      <c r="T7" s="32">
        <f aca="true" t="shared" si="2" ref="T7:T43">ROUND(Q7*1000/(R7+S7),0)</f>
        <v>5040</v>
      </c>
      <c r="U7" s="6"/>
      <c r="V7" s="32">
        <v>19354</v>
      </c>
    </row>
    <row r="8" spans="1:22" s="4" customFormat="1" ht="18.75">
      <c r="A8" s="8">
        <v>2</v>
      </c>
      <c r="B8" s="6" t="s">
        <v>84</v>
      </c>
      <c r="C8" s="21">
        <v>1046.3</v>
      </c>
      <c r="D8" s="21">
        <v>316</v>
      </c>
      <c r="E8" s="21">
        <v>1248.6</v>
      </c>
      <c r="F8" s="22"/>
      <c r="G8" s="21"/>
      <c r="H8" s="21">
        <v>412.7</v>
      </c>
      <c r="I8" s="21">
        <v>120</v>
      </c>
      <c r="J8" s="21">
        <v>7</v>
      </c>
      <c r="K8" s="21">
        <v>25.2</v>
      </c>
      <c r="L8" s="21"/>
      <c r="M8" s="21"/>
      <c r="N8" s="21"/>
      <c r="O8" s="21"/>
      <c r="P8" s="21">
        <f t="shared" si="0"/>
        <v>3175.7999999999993</v>
      </c>
      <c r="Q8" s="21">
        <f t="shared" si="1"/>
        <v>3175.7999999999993</v>
      </c>
      <c r="R8" s="8">
        <f>206+6+329+6+30</f>
        <v>577</v>
      </c>
      <c r="S8" s="6"/>
      <c r="T8" s="32">
        <f t="shared" si="2"/>
        <v>5504</v>
      </c>
      <c r="U8" s="6"/>
      <c r="V8" s="32">
        <v>19354</v>
      </c>
    </row>
    <row r="9" spans="1:22" s="4" customFormat="1" ht="18.75">
      <c r="A9" s="8">
        <v>4</v>
      </c>
      <c r="B9" s="6" t="s">
        <v>86</v>
      </c>
      <c r="C9" s="21">
        <v>1040.4</v>
      </c>
      <c r="D9" s="21">
        <v>314.2</v>
      </c>
      <c r="E9" s="21">
        <v>1836.2</v>
      </c>
      <c r="F9" s="22"/>
      <c r="G9" s="21"/>
      <c r="H9" s="21">
        <v>421.9</v>
      </c>
      <c r="I9" s="21">
        <v>199.1</v>
      </c>
      <c r="J9" s="21">
        <v>6</v>
      </c>
      <c r="K9" s="21">
        <v>34</v>
      </c>
      <c r="L9" s="21"/>
      <c r="M9" s="21"/>
      <c r="N9" s="21"/>
      <c r="O9" s="21"/>
      <c r="P9" s="21">
        <f t="shared" si="0"/>
        <v>3851.8</v>
      </c>
      <c r="Q9" s="21">
        <f t="shared" si="1"/>
        <v>3851.8</v>
      </c>
      <c r="R9" s="8">
        <f>270+8+347+9+2+1+40</f>
        <v>677</v>
      </c>
      <c r="S9" s="6"/>
      <c r="T9" s="32">
        <f t="shared" si="2"/>
        <v>5690</v>
      </c>
      <c r="U9" s="6"/>
      <c r="V9" s="32">
        <v>19354</v>
      </c>
    </row>
    <row r="10" spans="1:22" s="4" customFormat="1" ht="18.75">
      <c r="A10" s="8">
        <v>5</v>
      </c>
      <c r="B10" s="6" t="s">
        <v>88</v>
      </c>
      <c r="C10" s="21">
        <v>1231.9</v>
      </c>
      <c r="D10" s="21">
        <v>372</v>
      </c>
      <c r="E10" s="21">
        <v>2052.9</v>
      </c>
      <c r="F10" s="22"/>
      <c r="G10" s="21"/>
      <c r="H10" s="21">
        <v>779.5</v>
      </c>
      <c r="I10" s="21">
        <v>214.4</v>
      </c>
      <c r="J10" s="21">
        <v>10</v>
      </c>
      <c r="K10" s="21">
        <v>36.5</v>
      </c>
      <c r="L10" s="21"/>
      <c r="M10" s="21"/>
      <c r="N10" s="21"/>
      <c r="O10" s="21">
        <v>10</v>
      </c>
      <c r="P10" s="21">
        <f t="shared" si="0"/>
        <v>4707.2</v>
      </c>
      <c r="Q10" s="21">
        <f t="shared" si="1"/>
        <v>4707.2</v>
      </c>
      <c r="R10" s="8">
        <f>341+6+355+3+28</f>
        <v>733</v>
      </c>
      <c r="S10" s="6"/>
      <c r="T10" s="32">
        <f t="shared" si="2"/>
        <v>6422</v>
      </c>
      <c r="U10" s="6"/>
      <c r="V10" s="32">
        <v>19354</v>
      </c>
    </row>
    <row r="11" spans="1:22" s="4" customFormat="1" ht="18.75">
      <c r="A11" s="8">
        <v>6</v>
      </c>
      <c r="B11" s="6" t="s">
        <v>82</v>
      </c>
      <c r="C11" s="21">
        <v>1042.8</v>
      </c>
      <c r="D11" s="21">
        <v>314.9</v>
      </c>
      <c r="E11" s="21">
        <v>3305.2</v>
      </c>
      <c r="F11" s="22"/>
      <c r="G11" s="21"/>
      <c r="H11" s="21">
        <v>531.9</v>
      </c>
      <c r="I11" s="21">
        <v>227.2</v>
      </c>
      <c r="J11" s="21">
        <v>10</v>
      </c>
      <c r="K11" s="21">
        <v>32.7</v>
      </c>
      <c r="L11" s="21"/>
      <c r="M11" s="21"/>
      <c r="N11" s="21"/>
      <c r="O11" s="21"/>
      <c r="P11" s="21">
        <f t="shared" si="0"/>
        <v>5464.699999999999</v>
      </c>
      <c r="Q11" s="21">
        <f t="shared" si="1"/>
        <v>5464.699999999999</v>
      </c>
      <c r="R11" s="8">
        <f>328+8+2+405+5+3+1+48</f>
        <v>800</v>
      </c>
      <c r="S11" s="6"/>
      <c r="T11" s="32">
        <f t="shared" si="2"/>
        <v>6831</v>
      </c>
      <c r="U11" s="6"/>
      <c r="V11" s="32">
        <v>19354</v>
      </c>
    </row>
    <row r="12" spans="1:22" s="4" customFormat="1" ht="18.75">
      <c r="A12" s="8">
        <v>3</v>
      </c>
      <c r="B12" s="6" t="s">
        <v>85</v>
      </c>
      <c r="C12" s="21">
        <v>1097.8</v>
      </c>
      <c r="D12" s="21">
        <v>331.5</v>
      </c>
      <c r="E12" s="21"/>
      <c r="F12" s="22">
        <v>408.1</v>
      </c>
      <c r="G12" s="21">
        <v>36.2</v>
      </c>
      <c r="H12" s="21">
        <v>706.2</v>
      </c>
      <c r="I12" s="21">
        <v>65</v>
      </c>
      <c r="J12" s="21">
        <v>10</v>
      </c>
      <c r="K12" s="21">
        <v>21</v>
      </c>
      <c r="L12" s="21"/>
      <c r="M12" s="21"/>
      <c r="N12" s="21"/>
      <c r="O12" s="21"/>
      <c r="P12" s="21">
        <f t="shared" si="0"/>
        <v>2675.8</v>
      </c>
      <c r="Q12" s="21">
        <f t="shared" si="1"/>
        <v>2675.8</v>
      </c>
      <c r="R12" s="8">
        <f>125+231+6+2+1+16</f>
        <v>381</v>
      </c>
      <c r="S12" s="6"/>
      <c r="T12" s="32">
        <f t="shared" si="2"/>
        <v>7023</v>
      </c>
      <c r="U12" s="6"/>
      <c r="V12" s="32">
        <v>19354</v>
      </c>
    </row>
    <row r="13" spans="1:22" s="4" customFormat="1" ht="18.75">
      <c r="A13" s="8">
        <v>7</v>
      </c>
      <c r="B13" s="6" t="s">
        <v>76</v>
      </c>
      <c r="C13" s="21">
        <v>848.9</v>
      </c>
      <c r="D13" s="21">
        <v>256.4</v>
      </c>
      <c r="E13" s="21">
        <v>1505.9</v>
      </c>
      <c r="F13" s="22"/>
      <c r="G13" s="21"/>
      <c r="H13" s="21">
        <v>504.4</v>
      </c>
      <c r="I13" s="21">
        <v>138.9</v>
      </c>
      <c r="J13" s="21">
        <v>10</v>
      </c>
      <c r="K13" s="21">
        <v>29.4</v>
      </c>
      <c r="L13" s="21"/>
      <c r="M13" s="21"/>
      <c r="N13" s="21"/>
      <c r="O13" s="21"/>
      <c r="P13" s="21">
        <f t="shared" si="0"/>
        <v>3293.9</v>
      </c>
      <c r="Q13" s="21">
        <f t="shared" si="1"/>
        <v>3293.9</v>
      </c>
      <c r="R13" s="8">
        <f>156+14+236+7+1+28</f>
        <v>442</v>
      </c>
      <c r="S13" s="6"/>
      <c r="T13" s="32">
        <f t="shared" si="2"/>
        <v>7452</v>
      </c>
      <c r="U13" s="6"/>
      <c r="V13" s="32">
        <v>19354</v>
      </c>
    </row>
    <row r="14" spans="1:22" s="4" customFormat="1" ht="18.75">
      <c r="A14" s="8">
        <v>8</v>
      </c>
      <c r="B14" s="6" t="s">
        <v>79</v>
      </c>
      <c r="C14" s="21">
        <v>1231.8</v>
      </c>
      <c r="D14" s="21">
        <v>372</v>
      </c>
      <c r="E14" s="21">
        <v>2210.1</v>
      </c>
      <c r="F14" s="22"/>
      <c r="G14" s="21">
        <v>137.6</v>
      </c>
      <c r="H14" s="21">
        <v>504.4</v>
      </c>
      <c r="I14" s="21">
        <v>151.2</v>
      </c>
      <c r="J14" s="21">
        <v>15</v>
      </c>
      <c r="K14" s="21">
        <v>32.3</v>
      </c>
      <c r="L14" s="21"/>
      <c r="M14" s="21"/>
      <c r="N14" s="21"/>
      <c r="O14" s="21"/>
      <c r="P14" s="21">
        <f t="shared" si="0"/>
        <v>4654.4</v>
      </c>
      <c r="Q14" s="21">
        <f t="shared" si="1"/>
        <v>4654.4</v>
      </c>
      <c r="R14" s="8">
        <f>250+4+337+4+1+2+14</f>
        <v>612</v>
      </c>
      <c r="S14" s="6"/>
      <c r="T14" s="32">
        <f t="shared" si="2"/>
        <v>7605</v>
      </c>
      <c r="U14" s="6"/>
      <c r="V14" s="32">
        <v>19354</v>
      </c>
    </row>
    <row r="15" spans="1:22" s="4" customFormat="1" ht="18.75">
      <c r="A15" s="8">
        <v>9</v>
      </c>
      <c r="B15" s="6" t="s">
        <v>83</v>
      </c>
      <c r="C15" s="21">
        <v>2444.5</v>
      </c>
      <c r="D15" s="21">
        <v>738.2</v>
      </c>
      <c r="E15" s="21">
        <v>1818.1</v>
      </c>
      <c r="F15" s="22"/>
      <c r="G15" s="21"/>
      <c r="H15" s="21">
        <v>504.4</v>
      </c>
      <c r="I15" s="21">
        <v>170</v>
      </c>
      <c r="J15" s="21">
        <v>7</v>
      </c>
      <c r="K15" s="21">
        <v>37.8</v>
      </c>
      <c r="L15" s="21"/>
      <c r="M15" s="21"/>
      <c r="N15" s="21"/>
      <c r="O15" s="21"/>
      <c r="P15" s="21">
        <f t="shared" si="0"/>
        <v>5719.999999999999</v>
      </c>
      <c r="Q15" s="21">
        <f t="shared" si="1"/>
        <v>5719.999999999999</v>
      </c>
      <c r="R15" s="8">
        <f>286+2+3+323+4+6+16+49+1</f>
        <v>690</v>
      </c>
      <c r="S15" s="6"/>
      <c r="T15" s="32">
        <f t="shared" si="2"/>
        <v>8290</v>
      </c>
      <c r="U15" s="6"/>
      <c r="V15" s="32">
        <v>19354</v>
      </c>
    </row>
    <row r="16" spans="1:22" s="4" customFormat="1" ht="18.75">
      <c r="A16" s="8">
        <v>10</v>
      </c>
      <c r="B16" s="6" t="s">
        <v>75</v>
      </c>
      <c r="C16" s="21">
        <v>1226.7</v>
      </c>
      <c r="D16" s="21">
        <v>370.5</v>
      </c>
      <c r="E16" s="21"/>
      <c r="F16" s="22">
        <v>155.5</v>
      </c>
      <c r="G16" s="21">
        <v>27.5</v>
      </c>
      <c r="H16" s="21">
        <v>119.2</v>
      </c>
      <c r="I16" s="21">
        <v>40</v>
      </c>
      <c r="J16" s="21">
        <v>10</v>
      </c>
      <c r="K16" s="21">
        <v>6.3</v>
      </c>
      <c r="L16" s="21"/>
      <c r="M16" s="21"/>
      <c r="N16" s="21"/>
      <c r="O16" s="21"/>
      <c r="P16" s="21">
        <f t="shared" si="0"/>
        <v>1955.7</v>
      </c>
      <c r="Q16" s="21">
        <f t="shared" si="1"/>
        <v>1955.7</v>
      </c>
      <c r="R16" s="8">
        <f>97+3+105+3+16</f>
        <v>224</v>
      </c>
      <c r="S16" s="6"/>
      <c r="T16" s="32">
        <f t="shared" si="2"/>
        <v>8731</v>
      </c>
      <c r="U16" s="6"/>
      <c r="V16" s="32">
        <v>19354</v>
      </c>
    </row>
    <row r="17" spans="1:22" s="4" customFormat="1" ht="18.75">
      <c r="A17" s="8">
        <v>11</v>
      </c>
      <c r="B17" s="6" t="s">
        <v>66</v>
      </c>
      <c r="C17" s="21">
        <v>918.4</v>
      </c>
      <c r="D17" s="21">
        <v>277.4</v>
      </c>
      <c r="E17" s="21"/>
      <c r="F17" s="22">
        <v>436.2</v>
      </c>
      <c r="G17" s="21">
        <v>18.4</v>
      </c>
      <c r="H17" s="21">
        <v>311.8</v>
      </c>
      <c r="I17" s="21">
        <v>0</v>
      </c>
      <c r="J17" s="21"/>
      <c r="K17" s="21">
        <v>10.1</v>
      </c>
      <c r="L17" s="21"/>
      <c r="M17" s="21">
        <v>75.7</v>
      </c>
      <c r="N17" s="21">
        <v>3.5</v>
      </c>
      <c r="O17" s="21"/>
      <c r="P17" s="21">
        <f t="shared" si="0"/>
        <v>2051.5</v>
      </c>
      <c r="Q17" s="21">
        <f t="shared" si="1"/>
        <v>2051.5</v>
      </c>
      <c r="R17" s="8">
        <f>70+5+106+1+1+9</f>
        <v>192</v>
      </c>
      <c r="S17" s="6"/>
      <c r="T17" s="32">
        <f t="shared" si="2"/>
        <v>10685</v>
      </c>
      <c r="U17" s="6"/>
      <c r="V17" s="32">
        <v>19354</v>
      </c>
    </row>
    <row r="18" spans="1:22" s="4" customFormat="1" ht="18.75">
      <c r="A18" s="8">
        <v>15</v>
      </c>
      <c r="B18" s="6" t="s">
        <v>56</v>
      </c>
      <c r="C18" s="21">
        <v>1040.4</v>
      </c>
      <c r="D18" s="21">
        <v>314.2</v>
      </c>
      <c r="E18" s="21">
        <v>1433.4</v>
      </c>
      <c r="F18" s="22"/>
      <c r="G18" s="21">
        <v>13.9</v>
      </c>
      <c r="H18" s="21">
        <v>330.2</v>
      </c>
      <c r="I18" s="21">
        <v>80</v>
      </c>
      <c r="J18" s="21">
        <v>5</v>
      </c>
      <c r="K18" s="21">
        <v>14.7</v>
      </c>
      <c r="L18" s="21"/>
      <c r="M18" s="21"/>
      <c r="N18" s="21"/>
      <c r="O18" s="21"/>
      <c r="P18" s="21">
        <f t="shared" si="0"/>
        <v>3231.7999999999997</v>
      </c>
      <c r="Q18" s="21">
        <f t="shared" si="1"/>
        <v>3231.7999999999997</v>
      </c>
      <c r="R18" s="8">
        <f>135+1+133+1+8</f>
        <v>278</v>
      </c>
      <c r="S18" s="6"/>
      <c r="T18" s="32">
        <f t="shared" si="2"/>
        <v>11625</v>
      </c>
      <c r="U18" s="6"/>
      <c r="V18" s="32">
        <v>19354</v>
      </c>
    </row>
    <row r="19" spans="1:22" s="4" customFormat="1" ht="18.75">
      <c r="A19" s="8">
        <v>13</v>
      </c>
      <c r="B19" s="6" t="s">
        <v>65</v>
      </c>
      <c r="C19" s="21">
        <v>906.4</v>
      </c>
      <c r="D19" s="21">
        <v>273.7</v>
      </c>
      <c r="E19" s="21"/>
      <c r="F19" s="22">
        <v>502</v>
      </c>
      <c r="G19" s="21">
        <v>18.4</v>
      </c>
      <c r="H19" s="21">
        <v>486.1</v>
      </c>
      <c r="I19" s="21">
        <v>10</v>
      </c>
      <c r="J19" s="21">
        <v>2</v>
      </c>
      <c r="K19" s="21">
        <v>9.7</v>
      </c>
      <c r="L19" s="21"/>
      <c r="M19" s="21"/>
      <c r="N19" s="21"/>
      <c r="O19" s="21"/>
      <c r="P19" s="21">
        <f t="shared" si="0"/>
        <v>2208.2999999999997</v>
      </c>
      <c r="Q19" s="21">
        <f t="shared" si="1"/>
        <v>2208.2999999999997</v>
      </c>
      <c r="R19" s="8">
        <f>87+92+2+4</f>
        <v>185</v>
      </c>
      <c r="S19" s="6"/>
      <c r="T19" s="32">
        <f t="shared" si="2"/>
        <v>11937</v>
      </c>
      <c r="U19" s="6"/>
      <c r="V19" s="32">
        <v>19354</v>
      </c>
    </row>
    <row r="20" spans="1:22" s="4" customFormat="1" ht="18.75">
      <c r="A20" s="8">
        <v>12</v>
      </c>
      <c r="B20" s="6" t="s">
        <v>89</v>
      </c>
      <c r="C20" s="21">
        <v>849.1</v>
      </c>
      <c r="D20" s="21">
        <v>256.4</v>
      </c>
      <c r="E20" s="21"/>
      <c r="F20" s="22">
        <v>324.9</v>
      </c>
      <c r="G20" s="21"/>
      <c r="H20" s="21">
        <v>531.9</v>
      </c>
      <c r="I20" s="21">
        <v>90</v>
      </c>
      <c r="J20" s="21">
        <v>8.2</v>
      </c>
      <c r="K20" s="21">
        <v>9.7</v>
      </c>
      <c r="L20" s="21"/>
      <c r="M20" s="21"/>
      <c r="N20" s="21"/>
      <c r="O20" s="21"/>
      <c r="P20" s="21">
        <f t="shared" si="0"/>
        <v>2070.2</v>
      </c>
      <c r="Q20" s="21">
        <f t="shared" si="1"/>
        <v>2070.2</v>
      </c>
      <c r="R20" s="8">
        <f>63+1+84+3+17</f>
        <v>168</v>
      </c>
      <c r="S20" s="6"/>
      <c r="T20" s="32">
        <f t="shared" si="2"/>
        <v>12323</v>
      </c>
      <c r="U20" s="6"/>
      <c r="V20" s="32">
        <v>19354</v>
      </c>
    </row>
    <row r="21" spans="1:22" s="4" customFormat="1" ht="18.75">
      <c r="A21" s="8">
        <v>16</v>
      </c>
      <c r="B21" s="6" t="s">
        <v>80</v>
      </c>
      <c r="C21" s="21">
        <v>1231.8</v>
      </c>
      <c r="D21" s="21">
        <v>372</v>
      </c>
      <c r="E21" s="21">
        <v>2743.3</v>
      </c>
      <c r="F21" s="22"/>
      <c r="G21" s="21">
        <v>36.7</v>
      </c>
      <c r="H21" s="21">
        <v>779.5</v>
      </c>
      <c r="I21" s="21">
        <v>153.4</v>
      </c>
      <c r="J21" s="21">
        <v>20</v>
      </c>
      <c r="K21" s="21">
        <v>58.8</v>
      </c>
      <c r="L21" s="21"/>
      <c r="M21" s="21"/>
      <c r="N21" s="21"/>
      <c r="O21" s="21"/>
      <c r="P21" s="21">
        <f t="shared" si="0"/>
        <v>5395.5</v>
      </c>
      <c r="Q21" s="21">
        <f t="shared" si="1"/>
        <v>5395.5</v>
      </c>
      <c r="R21" s="8">
        <f>164+1+7+220+4+32</f>
        <v>428</v>
      </c>
      <c r="S21" s="6"/>
      <c r="T21" s="32">
        <f t="shared" si="2"/>
        <v>12606</v>
      </c>
      <c r="U21" s="6"/>
      <c r="V21" s="32">
        <v>19354</v>
      </c>
    </row>
    <row r="22" spans="1:22" s="4" customFormat="1" ht="18.75">
      <c r="A22" s="8">
        <v>14</v>
      </c>
      <c r="B22" s="6" t="s">
        <v>78</v>
      </c>
      <c r="C22" s="21">
        <v>944.8</v>
      </c>
      <c r="D22" s="21">
        <v>285.3</v>
      </c>
      <c r="E22" s="21"/>
      <c r="F22" s="22">
        <v>637.5</v>
      </c>
      <c r="G22" s="21">
        <v>9.2</v>
      </c>
      <c r="H22" s="21">
        <v>623.6</v>
      </c>
      <c r="I22" s="21">
        <v>170</v>
      </c>
      <c r="J22" s="21">
        <v>15</v>
      </c>
      <c r="K22" s="21">
        <v>25.2</v>
      </c>
      <c r="L22" s="21"/>
      <c r="M22" s="21"/>
      <c r="N22" s="21"/>
      <c r="O22" s="21"/>
      <c r="P22" s="21">
        <f t="shared" si="0"/>
        <v>2710.6</v>
      </c>
      <c r="Q22" s="21">
        <f t="shared" si="1"/>
        <v>2710.6</v>
      </c>
      <c r="R22" s="8">
        <f>87+3+95+13</f>
        <v>198</v>
      </c>
      <c r="S22" s="6"/>
      <c r="T22" s="32">
        <f t="shared" si="2"/>
        <v>13690</v>
      </c>
      <c r="U22" s="6"/>
      <c r="V22" s="32">
        <v>19354</v>
      </c>
    </row>
    <row r="23" spans="1:22" s="4" customFormat="1" ht="18.75">
      <c r="A23" s="8">
        <v>17</v>
      </c>
      <c r="B23" s="6" t="s">
        <v>71</v>
      </c>
      <c r="C23" s="21">
        <v>658.9</v>
      </c>
      <c r="D23" s="21">
        <v>199</v>
      </c>
      <c r="E23" s="21"/>
      <c r="F23" s="22">
        <v>189.4</v>
      </c>
      <c r="G23" s="21">
        <v>1.8</v>
      </c>
      <c r="H23" s="21">
        <v>128.4</v>
      </c>
      <c r="I23" s="21">
        <v>22</v>
      </c>
      <c r="J23" s="21">
        <v>5</v>
      </c>
      <c r="K23" s="21">
        <v>4.2</v>
      </c>
      <c r="L23" s="21"/>
      <c r="M23" s="21"/>
      <c r="N23" s="21"/>
      <c r="O23" s="21"/>
      <c r="P23" s="21">
        <f t="shared" si="0"/>
        <v>1208.7</v>
      </c>
      <c r="Q23" s="21">
        <f t="shared" si="1"/>
        <v>1208.7</v>
      </c>
      <c r="R23" s="8">
        <f>27+2+47</f>
        <v>76</v>
      </c>
      <c r="S23" s="6"/>
      <c r="T23" s="32">
        <f t="shared" si="2"/>
        <v>15904</v>
      </c>
      <c r="U23" s="6"/>
      <c r="V23" s="32">
        <v>19354</v>
      </c>
    </row>
    <row r="24" spans="1:22" s="4" customFormat="1" ht="18.75">
      <c r="A24" s="8">
        <v>18</v>
      </c>
      <c r="B24" s="6" t="s">
        <v>60</v>
      </c>
      <c r="C24" s="21">
        <v>1103.2</v>
      </c>
      <c r="D24" s="21">
        <v>333.1</v>
      </c>
      <c r="E24" s="21"/>
      <c r="F24" s="22"/>
      <c r="G24" s="21">
        <v>385.3</v>
      </c>
      <c r="H24" s="21">
        <v>302.6</v>
      </c>
      <c r="I24" s="21">
        <v>60</v>
      </c>
      <c r="J24" s="21">
        <v>5</v>
      </c>
      <c r="K24" s="21">
        <v>21</v>
      </c>
      <c r="L24" s="21">
        <v>503.6</v>
      </c>
      <c r="M24" s="21"/>
      <c r="N24" s="21"/>
      <c r="O24" s="21"/>
      <c r="P24" s="21">
        <f t="shared" si="0"/>
        <v>2713.8</v>
      </c>
      <c r="Q24" s="21">
        <f t="shared" si="1"/>
        <v>2210.2000000000003</v>
      </c>
      <c r="R24" s="8">
        <v>53</v>
      </c>
      <c r="S24" s="8">
        <v>83</v>
      </c>
      <c r="T24" s="32">
        <f t="shared" si="2"/>
        <v>16251</v>
      </c>
      <c r="U24" s="6"/>
      <c r="V24" s="32">
        <v>19354</v>
      </c>
    </row>
    <row r="25" spans="1:22" s="4" customFormat="1" ht="18.75">
      <c r="A25" s="8">
        <v>19</v>
      </c>
      <c r="B25" s="6" t="s">
        <v>81</v>
      </c>
      <c r="C25" s="21">
        <v>1455</v>
      </c>
      <c r="D25" s="21">
        <v>439.4</v>
      </c>
      <c r="E25" s="21"/>
      <c r="F25" s="22"/>
      <c r="G25" s="21">
        <v>1.8</v>
      </c>
      <c r="H25" s="21">
        <v>251.3</v>
      </c>
      <c r="I25" s="21">
        <v>20.6</v>
      </c>
      <c r="J25" s="21">
        <v>5</v>
      </c>
      <c r="K25" s="21">
        <v>7.1</v>
      </c>
      <c r="L25" s="21"/>
      <c r="M25" s="21">
        <v>350.2</v>
      </c>
      <c r="N25" s="21">
        <v>5</v>
      </c>
      <c r="O25" s="21"/>
      <c r="P25" s="21">
        <f t="shared" si="0"/>
        <v>2535.3999999999996</v>
      </c>
      <c r="Q25" s="21">
        <f t="shared" si="1"/>
        <v>2535.3999999999996</v>
      </c>
      <c r="R25" s="8">
        <f>52+2+66+2+9</f>
        <v>131</v>
      </c>
      <c r="S25" s="6"/>
      <c r="T25" s="37">
        <f t="shared" si="2"/>
        <v>19354</v>
      </c>
      <c r="U25" s="32">
        <v>19354</v>
      </c>
      <c r="V25" s="32">
        <v>19354</v>
      </c>
    </row>
    <row r="26" spans="1:22" s="4" customFormat="1" ht="18.75">
      <c r="A26" s="8">
        <v>21</v>
      </c>
      <c r="B26" s="6" t="s">
        <v>59</v>
      </c>
      <c r="C26" s="21">
        <v>944.7</v>
      </c>
      <c r="D26" s="21">
        <v>285.3</v>
      </c>
      <c r="E26" s="21"/>
      <c r="F26" s="22">
        <v>365.9</v>
      </c>
      <c r="G26" s="21"/>
      <c r="H26" s="21">
        <v>229.3</v>
      </c>
      <c r="I26" s="21">
        <v>20</v>
      </c>
      <c r="J26" s="21"/>
      <c r="K26" s="21">
        <v>5</v>
      </c>
      <c r="L26" s="21"/>
      <c r="M26" s="21"/>
      <c r="N26" s="21"/>
      <c r="O26" s="21"/>
      <c r="P26" s="21">
        <f t="shared" si="0"/>
        <v>1850.2</v>
      </c>
      <c r="Q26" s="21">
        <f t="shared" si="1"/>
        <v>1850.2</v>
      </c>
      <c r="R26" s="8">
        <f>34+48+2+6</f>
        <v>90</v>
      </c>
      <c r="S26" s="6"/>
      <c r="T26" s="32">
        <f t="shared" si="2"/>
        <v>20558</v>
      </c>
      <c r="U26" s="6"/>
      <c r="V26" s="32">
        <v>19354</v>
      </c>
    </row>
    <row r="27" spans="1:22" s="4" customFormat="1" ht="18.75">
      <c r="A27" s="8">
        <v>20</v>
      </c>
      <c r="B27" s="6" t="s">
        <v>54</v>
      </c>
      <c r="C27" s="21">
        <v>758.9</v>
      </c>
      <c r="D27" s="21">
        <v>229.2</v>
      </c>
      <c r="E27" s="21"/>
      <c r="F27" s="22">
        <v>204.3</v>
      </c>
      <c r="G27" s="21"/>
      <c r="H27" s="21">
        <v>200.8</v>
      </c>
      <c r="I27" s="21">
        <v>0</v>
      </c>
      <c r="J27" s="21"/>
      <c r="K27" s="21">
        <v>5</v>
      </c>
      <c r="L27" s="21"/>
      <c r="M27" s="21"/>
      <c r="N27" s="21"/>
      <c r="O27" s="21"/>
      <c r="P27" s="21">
        <f t="shared" si="0"/>
        <v>1398.1999999999998</v>
      </c>
      <c r="Q27" s="21">
        <f t="shared" si="1"/>
        <v>1398.1999999999998</v>
      </c>
      <c r="R27" s="8">
        <f>27+40</f>
        <v>67</v>
      </c>
      <c r="S27" s="6"/>
      <c r="T27" s="32">
        <f t="shared" si="2"/>
        <v>20869</v>
      </c>
      <c r="U27" s="6"/>
      <c r="V27" s="32">
        <v>19354</v>
      </c>
    </row>
    <row r="28" spans="1:22" s="4" customFormat="1" ht="18.75">
      <c r="A28" s="8">
        <v>23</v>
      </c>
      <c r="B28" s="6" t="s">
        <v>77</v>
      </c>
      <c r="C28" s="21">
        <v>849.5</v>
      </c>
      <c r="D28" s="21">
        <v>256.5</v>
      </c>
      <c r="E28" s="21">
        <v>2203.5</v>
      </c>
      <c r="F28" s="22"/>
      <c r="G28" s="21"/>
      <c r="H28" s="21">
        <v>458.5</v>
      </c>
      <c r="I28" s="21">
        <v>222.8</v>
      </c>
      <c r="J28" s="21">
        <v>10</v>
      </c>
      <c r="K28" s="21">
        <v>21</v>
      </c>
      <c r="L28" s="21"/>
      <c r="M28" s="21"/>
      <c r="N28" s="21"/>
      <c r="O28" s="21"/>
      <c r="P28" s="21">
        <f t="shared" si="0"/>
        <v>4021.8</v>
      </c>
      <c r="Q28" s="21">
        <f t="shared" si="1"/>
        <v>4021.8</v>
      </c>
      <c r="R28" s="8">
        <f>60+2+115+2+12</f>
        <v>191</v>
      </c>
      <c r="S28" s="6"/>
      <c r="T28" s="32">
        <f t="shared" si="2"/>
        <v>21057</v>
      </c>
      <c r="U28" s="6"/>
      <c r="V28" s="32">
        <v>19354</v>
      </c>
    </row>
    <row r="29" spans="1:22" s="4" customFormat="1" ht="18.75">
      <c r="A29" s="8">
        <v>22</v>
      </c>
      <c r="B29" s="6" t="s">
        <v>64</v>
      </c>
      <c r="C29" s="21">
        <v>756.7</v>
      </c>
      <c r="D29" s="21">
        <v>228.5</v>
      </c>
      <c r="E29" s="21"/>
      <c r="F29" s="22">
        <v>279.7</v>
      </c>
      <c r="G29" s="21">
        <v>11</v>
      </c>
      <c r="H29" s="21">
        <v>275.1</v>
      </c>
      <c r="I29" s="21">
        <v>35</v>
      </c>
      <c r="J29" s="21">
        <v>5</v>
      </c>
      <c r="K29" s="21">
        <v>5.5</v>
      </c>
      <c r="L29" s="21"/>
      <c r="M29" s="21"/>
      <c r="N29" s="21"/>
      <c r="O29" s="21"/>
      <c r="P29" s="21">
        <f t="shared" si="0"/>
        <v>1596.5</v>
      </c>
      <c r="Q29" s="21">
        <f t="shared" si="1"/>
        <v>1596.5</v>
      </c>
      <c r="R29" s="8">
        <f>29+42</f>
        <v>71</v>
      </c>
      <c r="S29" s="6"/>
      <c r="T29" s="32">
        <f t="shared" si="2"/>
        <v>22486</v>
      </c>
      <c r="U29" s="6"/>
      <c r="V29" s="32">
        <v>19354</v>
      </c>
    </row>
    <row r="30" spans="1:22" s="4" customFormat="1" ht="18.75">
      <c r="A30" s="8">
        <v>26</v>
      </c>
      <c r="B30" s="6" t="s">
        <v>68</v>
      </c>
      <c r="C30" s="21">
        <v>1231.3</v>
      </c>
      <c r="D30" s="21">
        <v>371.9</v>
      </c>
      <c r="E30" s="21"/>
      <c r="F30" s="22">
        <v>170.8</v>
      </c>
      <c r="G30" s="21"/>
      <c r="H30" s="21">
        <v>110.1</v>
      </c>
      <c r="I30" s="29">
        <v>0</v>
      </c>
      <c r="J30" s="21"/>
      <c r="K30" s="21">
        <v>4.6</v>
      </c>
      <c r="L30" s="21"/>
      <c r="M30" s="21"/>
      <c r="N30" s="21"/>
      <c r="O30" s="21"/>
      <c r="P30" s="21">
        <f t="shared" si="0"/>
        <v>1888.6999999999996</v>
      </c>
      <c r="Q30" s="21">
        <f t="shared" si="1"/>
        <v>1888.6999999999996</v>
      </c>
      <c r="R30" s="8">
        <f>16+2+49+1</f>
        <v>68</v>
      </c>
      <c r="S30" s="6"/>
      <c r="T30" s="32">
        <f t="shared" si="2"/>
        <v>27775</v>
      </c>
      <c r="U30" s="6"/>
      <c r="V30" s="32">
        <v>19354</v>
      </c>
    </row>
    <row r="31" spans="1:22" s="4" customFormat="1" ht="18.75">
      <c r="A31" s="8">
        <v>25</v>
      </c>
      <c r="B31" s="6" t="s">
        <v>90</v>
      </c>
      <c r="C31" s="21">
        <v>1228.5</v>
      </c>
      <c r="D31" s="21">
        <v>371</v>
      </c>
      <c r="E31" s="21"/>
      <c r="F31" s="23">
        <v>189.1</v>
      </c>
      <c r="G31" s="21">
        <v>6</v>
      </c>
      <c r="H31" s="21">
        <v>275.1</v>
      </c>
      <c r="I31" s="21">
        <v>0</v>
      </c>
      <c r="J31" s="21"/>
      <c r="K31" s="21">
        <v>5</v>
      </c>
      <c r="L31" s="21"/>
      <c r="M31" s="21"/>
      <c r="N31" s="21"/>
      <c r="O31" s="21"/>
      <c r="P31" s="21">
        <f t="shared" si="0"/>
        <v>2074.7</v>
      </c>
      <c r="Q31" s="21">
        <f t="shared" si="1"/>
        <v>2074.7</v>
      </c>
      <c r="R31" s="8">
        <f>29+3+40+1+1</f>
        <v>74</v>
      </c>
      <c r="S31" s="6"/>
      <c r="T31" s="32">
        <f t="shared" si="2"/>
        <v>28036</v>
      </c>
      <c r="U31" s="6"/>
      <c r="V31" s="32">
        <v>19354</v>
      </c>
    </row>
    <row r="32" spans="1:22" s="4" customFormat="1" ht="18.75">
      <c r="A32" s="8">
        <v>27</v>
      </c>
      <c r="B32" s="6" t="s">
        <v>58</v>
      </c>
      <c r="C32" s="21">
        <v>1734.6</v>
      </c>
      <c r="D32" s="21">
        <v>523.8</v>
      </c>
      <c r="E32" s="21"/>
      <c r="F32" s="22"/>
      <c r="G32" s="21"/>
      <c r="H32" s="21">
        <v>210.9</v>
      </c>
      <c r="I32" s="21">
        <v>0</v>
      </c>
      <c r="J32" s="21"/>
      <c r="K32" s="21">
        <v>4.6</v>
      </c>
      <c r="L32" s="21"/>
      <c r="M32" s="21">
        <v>351.9</v>
      </c>
      <c r="N32" s="21">
        <v>5</v>
      </c>
      <c r="O32" s="21"/>
      <c r="P32" s="21">
        <f t="shared" si="0"/>
        <v>2830.7999999999997</v>
      </c>
      <c r="Q32" s="21">
        <f t="shared" si="1"/>
        <v>2830.7999999999997</v>
      </c>
      <c r="R32" s="8">
        <f>29+62+9</f>
        <v>100</v>
      </c>
      <c r="S32" s="6"/>
      <c r="T32" s="32">
        <f t="shared" si="2"/>
        <v>28308</v>
      </c>
      <c r="U32" s="6"/>
      <c r="V32" s="32">
        <v>19354</v>
      </c>
    </row>
    <row r="33" spans="1:22" s="4" customFormat="1" ht="18.75">
      <c r="A33" s="8">
        <v>24</v>
      </c>
      <c r="B33" s="6" t="s">
        <v>63</v>
      </c>
      <c r="C33" s="21">
        <v>1159.2</v>
      </c>
      <c r="D33" s="21">
        <v>350.1</v>
      </c>
      <c r="E33" s="21"/>
      <c r="F33" s="22">
        <v>357.5</v>
      </c>
      <c r="G33" s="21"/>
      <c r="H33" s="21">
        <v>394.4</v>
      </c>
      <c r="I33" s="21">
        <v>49.6</v>
      </c>
      <c r="J33" s="21">
        <v>5</v>
      </c>
      <c r="K33" s="21">
        <v>5</v>
      </c>
      <c r="L33" s="21"/>
      <c r="M33" s="21"/>
      <c r="N33" s="21"/>
      <c r="O33" s="21"/>
      <c r="P33" s="21">
        <f t="shared" si="0"/>
        <v>2320.8</v>
      </c>
      <c r="Q33" s="21">
        <f t="shared" si="1"/>
        <v>2320.8</v>
      </c>
      <c r="R33" s="8">
        <f>32+3+39+6</f>
        <v>80</v>
      </c>
      <c r="S33" s="6"/>
      <c r="T33" s="32">
        <f t="shared" si="2"/>
        <v>29010</v>
      </c>
      <c r="U33" s="6"/>
      <c r="V33" s="32">
        <v>19354</v>
      </c>
    </row>
    <row r="34" spans="1:22" s="4" customFormat="1" ht="18.75">
      <c r="A34" s="8">
        <v>28</v>
      </c>
      <c r="B34" s="6" t="s">
        <v>70</v>
      </c>
      <c r="C34" s="21">
        <v>1316.8</v>
      </c>
      <c r="D34" s="21">
        <v>397.7</v>
      </c>
      <c r="E34" s="21"/>
      <c r="F34" s="22">
        <v>178.7</v>
      </c>
      <c r="G34" s="21">
        <v>1.8</v>
      </c>
      <c r="H34" s="21">
        <v>128.4</v>
      </c>
      <c r="I34" s="21">
        <v>30</v>
      </c>
      <c r="J34" s="21">
        <v>5</v>
      </c>
      <c r="K34" s="21">
        <v>3.8</v>
      </c>
      <c r="L34" s="21"/>
      <c r="M34" s="21"/>
      <c r="N34" s="21"/>
      <c r="O34" s="21"/>
      <c r="P34" s="21">
        <f t="shared" si="0"/>
        <v>2062.2000000000003</v>
      </c>
      <c r="Q34" s="21">
        <f t="shared" si="1"/>
        <v>2062.2000000000003</v>
      </c>
      <c r="R34" s="8">
        <f>33+21+2</f>
        <v>56</v>
      </c>
      <c r="S34" s="6"/>
      <c r="T34" s="32">
        <f t="shared" si="2"/>
        <v>36825</v>
      </c>
      <c r="U34" s="6"/>
      <c r="V34" s="32">
        <v>19354</v>
      </c>
    </row>
    <row r="35" spans="1:22" s="4" customFormat="1" ht="18.75">
      <c r="A35" s="8">
        <v>32</v>
      </c>
      <c r="B35" s="6" t="s">
        <v>72</v>
      </c>
      <c r="C35" s="21">
        <v>906.5</v>
      </c>
      <c r="D35" s="21">
        <v>273.8</v>
      </c>
      <c r="E35" s="21"/>
      <c r="F35" s="22">
        <v>108.8</v>
      </c>
      <c r="G35" s="21"/>
      <c r="H35" s="21">
        <v>229.3</v>
      </c>
      <c r="I35" s="21">
        <v>0</v>
      </c>
      <c r="J35" s="21"/>
      <c r="K35" s="21">
        <v>4.2</v>
      </c>
      <c r="L35" s="21"/>
      <c r="M35" s="21"/>
      <c r="N35" s="21"/>
      <c r="O35" s="21"/>
      <c r="P35" s="21">
        <f t="shared" si="0"/>
        <v>1522.6</v>
      </c>
      <c r="Q35" s="21">
        <f t="shared" si="1"/>
        <v>1522.6</v>
      </c>
      <c r="R35" s="8">
        <f>12+17</f>
        <v>29</v>
      </c>
      <c r="S35" s="8">
        <v>12</v>
      </c>
      <c r="T35" s="32">
        <f t="shared" si="2"/>
        <v>37137</v>
      </c>
      <c r="U35" s="6"/>
      <c r="V35" s="32">
        <v>19354</v>
      </c>
    </row>
    <row r="36" spans="1:22" s="4" customFormat="1" ht="18.75">
      <c r="A36" s="8">
        <v>29</v>
      </c>
      <c r="B36" s="6" t="s">
        <v>55</v>
      </c>
      <c r="C36" s="21">
        <v>664.8</v>
      </c>
      <c r="D36" s="21">
        <v>200.8</v>
      </c>
      <c r="E36" s="21"/>
      <c r="F36" s="22">
        <v>103.3</v>
      </c>
      <c r="G36" s="21"/>
      <c r="H36" s="21">
        <v>110.1</v>
      </c>
      <c r="I36" s="21">
        <v>0</v>
      </c>
      <c r="J36" s="21"/>
      <c r="K36" s="21">
        <v>2.1</v>
      </c>
      <c r="L36" s="21"/>
      <c r="M36" s="21"/>
      <c r="N36" s="21"/>
      <c r="O36" s="21"/>
      <c r="P36" s="21">
        <f t="shared" si="0"/>
        <v>1081.0999999999997</v>
      </c>
      <c r="Q36" s="21">
        <f t="shared" si="1"/>
        <v>1081.0999999999997</v>
      </c>
      <c r="R36" s="8">
        <f>11+17</f>
        <v>28</v>
      </c>
      <c r="S36" s="6"/>
      <c r="T36" s="32">
        <f t="shared" si="2"/>
        <v>38611</v>
      </c>
      <c r="U36" s="6"/>
      <c r="V36" s="32">
        <v>19354</v>
      </c>
    </row>
    <row r="37" spans="1:22" s="4" customFormat="1" ht="18.75">
      <c r="A37" s="8">
        <v>36</v>
      </c>
      <c r="B37" s="6" t="s">
        <v>62</v>
      </c>
      <c r="C37" s="21">
        <v>1011.6</v>
      </c>
      <c r="D37" s="21">
        <v>305.5</v>
      </c>
      <c r="E37" s="21"/>
      <c r="F37" s="22">
        <v>184.1</v>
      </c>
      <c r="G37" s="21"/>
      <c r="H37" s="21">
        <v>210.9</v>
      </c>
      <c r="I37" s="21">
        <v>0</v>
      </c>
      <c r="J37" s="21"/>
      <c r="K37" s="21">
        <v>2.1</v>
      </c>
      <c r="L37" s="21"/>
      <c r="M37" s="21"/>
      <c r="N37" s="21"/>
      <c r="O37" s="21"/>
      <c r="P37" s="21">
        <f t="shared" si="0"/>
        <v>1714.1999999999998</v>
      </c>
      <c r="Q37" s="21">
        <f t="shared" si="1"/>
        <v>1714.1999999999998</v>
      </c>
      <c r="R37" s="8">
        <f>16+12</f>
        <v>28</v>
      </c>
      <c r="S37" s="8">
        <v>15</v>
      </c>
      <c r="T37" s="32">
        <f t="shared" si="2"/>
        <v>39865</v>
      </c>
      <c r="U37" s="6"/>
      <c r="V37" s="32">
        <v>19354</v>
      </c>
    </row>
    <row r="38" spans="1:22" s="4" customFormat="1" ht="18.75">
      <c r="A38" s="8">
        <v>33</v>
      </c>
      <c r="B38" s="6" t="s">
        <v>61</v>
      </c>
      <c r="C38" s="21">
        <v>1919.1</v>
      </c>
      <c r="D38" s="21">
        <v>579.6</v>
      </c>
      <c r="E38" s="21"/>
      <c r="F38" s="22"/>
      <c r="G38" s="21"/>
      <c r="H38" s="21">
        <v>1020.7</v>
      </c>
      <c r="I38" s="21">
        <v>0</v>
      </c>
      <c r="J38" s="21"/>
      <c r="K38" s="21">
        <v>5.5</v>
      </c>
      <c r="L38" s="21"/>
      <c r="M38" s="21">
        <v>1244.7</v>
      </c>
      <c r="N38" s="21">
        <v>5</v>
      </c>
      <c r="O38" s="21"/>
      <c r="P38" s="21">
        <f t="shared" si="0"/>
        <v>4774.599999999999</v>
      </c>
      <c r="Q38" s="21">
        <f t="shared" si="1"/>
        <v>4774.599999999999</v>
      </c>
      <c r="R38" s="8">
        <f>39+2+37+4</f>
        <v>82</v>
      </c>
      <c r="S38" s="8">
        <v>19</v>
      </c>
      <c r="T38" s="32">
        <f t="shared" si="2"/>
        <v>47273</v>
      </c>
      <c r="U38" s="6"/>
      <c r="V38" s="32">
        <v>19354</v>
      </c>
    </row>
    <row r="39" spans="1:22" s="4" customFormat="1" ht="18.75">
      <c r="A39" s="8">
        <v>31</v>
      </c>
      <c r="B39" s="6" t="s">
        <v>69</v>
      </c>
      <c r="C39" s="21">
        <v>1140.9</v>
      </c>
      <c r="D39" s="21">
        <v>344.6</v>
      </c>
      <c r="E39" s="21"/>
      <c r="F39" s="22"/>
      <c r="G39" s="21"/>
      <c r="H39" s="21">
        <v>119.2</v>
      </c>
      <c r="I39" s="21">
        <v>0</v>
      </c>
      <c r="J39" s="21"/>
      <c r="K39" s="21">
        <v>3.8</v>
      </c>
      <c r="L39" s="21"/>
      <c r="M39" s="21">
        <v>240.2</v>
      </c>
      <c r="N39" s="21">
        <v>5</v>
      </c>
      <c r="O39" s="21"/>
      <c r="P39" s="21">
        <f t="shared" si="0"/>
        <v>1853.7</v>
      </c>
      <c r="Q39" s="21">
        <f t="shared" si="1"/>
        <v>1853.7</v>
      </c>
      <c r="R39" s="8">
        <f>16+23</f>
        <v>39</v>
      </c>
      <c r="S39" s="6"/>
      <c r="T39" s="32">
        <f t="shared" si="2"/>
        <v>47531</v>
      </c>
      <c r="U39" s="6"/>
      <c r="V39" s="32">
        <v>19354</v>
      </c>
    </row>
    <row r="40" spans="1:22" s="4" customFormat="1" ht="18.75">
      <c r="A40" s="8">
        <v>34</v>
      </c>
      <c r="B40" s="6" t="s">
        <v>67</v>
      </c>
      <c r="C40" s="21">
        <v>1493.6</v>
      </c>
      <c r="D40" s="21">
        <v>451.1</v>
      </c>
      <c r="E40" s="21"/>
      <c r="F40" s="22">
        <v>0</v>
      </c>
      <c r="G40" s="21">
        <v>1.8</v>
      </c>
      <c r="H40" s="21">
        <v>192.6</v>
      </c>
      <c r="I40" s="21">
        <v>10</v>
      </c>
      <c r="J40" s="21"/>
      <c r="K40" s="21">
        <v>4.6</v>
      </c>
      <c r="L40" s="21">
        <v>34.7</v>
      </c>
      <c r="M40" s="21">
        <v>387.7</v>
      </c>
      <c r="N40" s="21">
        <v>5</v>
      </c>
      <c r="O40" s="21"/>
      <c r="P40" s="21">
        <f t="shared" si="0"/>
        <v>2581.0999999999995</v>
      </c>
      <c r="Q40" s="21">
        <f t="shared" si="1"/>
        <v>2546.3999999999996</v>
      </c>
      <c r="R40" s="8">
        <f>19+1+25+1</f>
        <v>46</v>
      </c>
      <c r="S40" s="8">
        <v>6</v>
      </c>
      <c r="T40" s="32">
        <f t="shared" si="2"/>
        <v>48969</v>
      </c>
      <c r="U40" s="6"/>
      <c r="V40" s="32">
        <v>19354</v>
      </c>
    </row>
    <row r="41" spans="1:22" s="4" customFormat="1" ht="18.75">
      <c r="A41" s="8">
        <v>30</v>
      </c>
      <c r="B41" s="6" t="s">
        <v>73</v>
      </c>
      <c r="C41" s="21">
        <v>1129.1</v>
      </c>
      <c r="D41" s="21">
        <v>341</v>
      </c>
      <c r="E41" s="21"/>
      <c r="F41" s="22"/>
      <c r="G41" s="21"/>
      <c r="H41" s="21">
        <v>366.8</v>
      </c>
      <c r="I41" s="21">
        <v>0</v>
      </c>
      <c r="J41" s="21"/>
      <c r="K41" s="21">
        <v>2.9</v>
      </c>
      <c r="L41" s="21"/>
      <c r="M41" s="21">
        <v>544.9</v>
      </c>
      <c r="N41" s="21">
        <v>5</v>
      </c>
      <c r="O41" s="21"/>
      <c r="P41" s="21">
        <f t="shared" si="0"/>
        <v>2389.7</v>
      </c>
      <c r="Q41" s="21">
        <f t="shared" si="1"/>
        <v>2389.7</v>
      </c>
      <c r="R41" s="8">
        <f>21+2+25</f>
        <v>48</v>
      </c>
      <c r="S41" s="6"/>
      <c r="T41" s="32">
        <f t="shared" si="2"/>
        <v>49785</v>
      </c>
      <c r="U41" s="6"/>
      <c r="V41" s="32">
        <v>19354</v>
      </c>
    </row>
    <row r="42" spans="1:22" s="4" customFormat="1" ht="18.75">
      <c r="A42" s="45">
        <v>35</v>
      </c>
      <c r="B42" s="46" t="s">
        <v>74</v>
      </c>
      <c r="C42" s="47">
        <v>1143.5</v>
      </c>
      <c r="D42" s="47">
        <v>345.3</v>
      </c>
      <c r="E42" s="47"/>
      <c r="F42" s="48"/>
      <c r="G42" s="47"/>
      <c r="H42" s="47">
        <v>146.7</v>
      </c>
      <c r="I42" s="47">
        <v>0</v>
      </c>
      <c r="J42" s="47"/>
      <c r="K42" s="47">
        <v>2.1</v>
      </c>
      <c r="L42" s="47"/>
      <c r="M42" s="47">
        <v>373.3</v>
      </c>
      <c r="N42" s="47">
        <v>5</v>
      </c>
      <c r="O42" s="47"/>
      <c r="P42" s="47">
        <f t="shared" si="0"/>
        <v>2015.8999999999999</v>
      </c>
      <c r="Q42" s="47">
        <f t="shared" si="1"/>
        <v>2015.8999999999999</v>
      </c>
      <c r="R42" s="45">
        <f>19+18</f>
        <v>37</v>
      </c>
      <c r="S42" s="46"/>
      <c r="T42" s="49">
        <f t="shared" si="2"/>
        <v>54484</v>
      </c>
      <c r="U42" s="46"/>
      <c r="V42" s="49">
        <v>19354</v>
      </c>
    </row>
    <row r="43" spans="1:22" s="4" customFormat="1" ht="18.75">
      <c r="A43" s="8">
        <v>37</v>
      </c>
      <c r="B43" s="6" t="s">
        <v>57</v>
      </c>
      <c r="C43" s="21">
        <v>1244.1</v>
      </c>
      <c r="D43" s="21">
        <v>375.7</v>
      </c>
      <c r="E43" s="21"/>
      <c r="F43" s="21"/>
      <c r="G43" s="21"/>
      <c r="H43" s="21">
        <v>201.8</v>
      </c>
      <c r="I43" s="21">
        <v>0</v>
      </c>
      <c r="J43" s="21"/>
      <c r="K43" s="21">
        <v>2.5</v>
      </c>
      <c r="L43" s="21"/>
      <c r="M43" s="21">
        <v>448.6</v>
      </c>
      <c r="N43" s="21">
        <v>5</v>
      </c>
      <c r="O43" s="21"/>
      <c r="P43" s="21">
        <f t="shared" si="0"/>
        <v>2277.7</v>
      </c>
      <c r="Q43" s="21">
        <f t="shared" si="1"/>
        <v>2277.7</v>
      </c>
      <c r="R43" s="8">
        <f>17+14+2</f>
        <v>33</v>
      </c>
      <c r="S43" s="6"/>
      <c r="T43" s="32">
        <f t="shared" si="2"/>
        <v>69021</v>
      </c>
      <c r="U43" s="6"/>
      <c r="V43" s="32">
        <v>19354</v>
      </c>
    </row>
    <row r="44" spans="2:19" s="44" customFormat="1" ht="18.75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2"/>
    </row>
    <row r="45" spans="3:16" s="4" customFormat="1" ht="18.75">
      <c r="C45" s="12"/>
      <c r="D45" s="1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3"/>
    </row>
    <row r="46" spans="3:16" ht="18.75"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3"/>
      <c r="N46" s="3"/>
      <c r="O46" s="3"/>
      <c r="P46" s="3"/>
    </row>
    <row r="48" spans="3:16" ht="18.75">
      <c r="C48" s="12"/>
      <c r="D48" s="12"/>
      <c r="P48" s="7"/>
    </row>
    <row r="49" ht="18.75">
      <c r="P49" s="7"/>
    </row>
  </sheetData>
  <sheetProtection/>
  <autoFilter ref="T6:T43">
    <sortState ref="T7:T49">
      <sortCondition sortBy="value" ref="T7:T49"/>
    </sortState>
  </autoFilter>
  <mergeCells count="14">
    <mergeCell ref="J6:K6"/>
    <mergeCell ref="M6:N6"/>
    <mergeCell ref="Q4:Q5"/>
    <mergeCell ref="R4:R5"/>
    <mergeCell ref="S4:S5"/>
    <mergeCell ref="T4:T5"/>
    <mergeCell ref="U4:U5"/>
    <mergeCell ref="V4:V5"/>
    <mergeCell ref="M1:P1"/>
    <mergeCell ref="A4:A5"/>
    <mergeCell ref="B4:B5"/>
    <mergeCell ref="C4:O4"/>
    <mergeCell ref="P4:P5"/>
    <mergeCell ref="C2:P2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W48"/>
  <sheetViews>
    <sheetView view="pageBreakPreview" zoomScale="80" zoomScaleNormal="70" zoomScaleSheetLayoutView="8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7" sqref="H27"/>
    </sheetView>
  </sheetViews>
  <sheetFormatPr defaultColWidth="8.88671875" defaultRowHeight="18.75"/>
  <cols>
    <col min="2" max="2" width="32.88671875" style="4" customWidth="1"/>
    <col min="3" max="3" width="9.88671875" style="4" bestFit="1" customWidth="1"/>
    <col min="4" max="4" width="8.99609375" style="4" bestFit="1" customWidth="1"/>
    <col min="5" max="5" width="9.88671875" style="4" customWidth="1"/>
    <col min="6" max="7" width="8.99609375" style="4" customWidth="1"/>
    <col min="8" max="8" width="9.88671875" style="4" customWidth="1"/>
    <col min="9" max="9" width="8.99609375" style="4" customWidth="1"/>
    <col min="10" max="10" width="14.5546875" style="4" customWidth="1"/>
    <col min="11" max="11" width="8.99609375" style="4" customWidth="1"/>
    <col min="12" max="12" width="12.3359375" style="4" customWidth="1"/>
    <col min="13" max="13" width="12.88671875" style="4" customWidth="1"/>
    <col min="14" max="14" width="8.99609375" style="4" customWidth="1"/>
    <col min="15" max="15" width="10.5546875" style="4" customWidth="1"/>
    <col min="16" max="16" width="16.4453125" style="4" customWidth="1"/>
    <col min="17" max="17" width="20.3359375" style="0" customWidth="1"/>
    <col min="18" max="18" width="18.4453125" style="0" customWidth="1"/>
    <col min="19" max="19" width="18.99609375" style="0" customWidth="1"/>
    <col min="20" max="20" width="25.99609375" style="0" customWidth="1"/>
    <col min="21" max="21" width="18.4453125" style="0" customWidth="1"/>
    <col min="22" max="22" width="27.10546875" style="0" customWidth="1"/>
  </cols>
  <sheetData>
    <row r="1" spans="13:49" s="18" customFormat="1" ht="18.75">
      <c r="M1" s="58" t="s">
        <v>99</v>
      </c>
      <c r="N1" s="58"/>
      <c r="O1" s="58"/>
      <c r="P1" s="58"/>
      <c r="Q1" s="58"/>
      <c r="AU1" s="19"/>
      <c r="AV1" s="19"/>
      <c r="AW1" s="19"/>
    </row>
    <row r="2" spans="2:49" s="18" customFormat="1" ht="57" customHeight="1">
      <c r="B2" s="77"/>
      <c r="C2" s="59" t="s">
        <v>47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20"/>
      <c r="AU2" s="19"/>
      <c r="AV2" s="19"/>
      <c r="AW2" s="19"/>
    </row>
    <row r="3" spans="1:49" s="18" customFormat="1" ht="22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27"/>
      <c r="R3" s="20"/>
      <c r="AU3" s="19"/>
      <c r="AV3" s="19"/>
      <c r="AW3" s="19"/>
    </row>
    <row r="4" spans="1:22" ht="78" customHeight="1">
      <c r="A4" s="60" t="s">
        <v>0</v>
      </c>
      <c r="B4" s="62" t="s">
        <v>45</v>
      </c>
      <c r="C4" s="63" t="s">
        <v>44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1"/>
      <c r="P4" s="65" t="s">
        <v>41</v>
      </c>
      <c r="Q4" s="65" t="s">
        <v>48</v>
      </c>
      <c r="R4" s="65" t="s">
        <v>49</v>
      </c>
      <c r="S4" s="65" t="s">
        <v>50</v>
      </c>
      <c r="T4" s="65" t="s">
        <v>51</v>
      </c>
      <c r="U4" s="57" t="s">
        <v>52</v>
      </c>
      <c r="V4" s="57" t="s">
        <v>53</v>
      </c>
    </row>
    <row r="5" spans="1:22" ht="93.75" customHeight="1">
      <c r="A5" s="61"/>
      <c r="B5" s="62"/>
      <c r="C5" s="14" t="s">
        <v>2</v>
      </c>
      <c r="D5" s="14" t="s">
        <v>12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32</v>
      </c>
      <c r="M5" s="14" t="s">
        <v>38</v>
      </c>
      <c r="N5" s="14" t="s">
        <v>39</v>
      </c>
      <c r="O5" s="14" t="s">
        <v>40</v>
      </c>
      <c r="P5" s="66"/>
      <c r="Q5" s="66"/>
      <c r="R5" s="66"/>
      <c r="S5" s="66"/>
      <c r="T5" s="66"/>
      <c r="U5" s="57"/>
      <c r="V5" s="57"/>
    </row>
    <row r="6" spans="1:22" ht="16.5" customHeight="1">
      <c r="A6" s="6"/>
      <c r="B6" s="6"/>
      <c r="C6" s="8"/>
      <c r="D6" s="8"/>
      <c r="E6" s="9"/>
      <c r="F6" s="9"/>
      <c r="G6" s="9"/>
      <c r="H6" s="9"/>
      <c r="I6" s="9"/>
      <c r="J6" s="67"/>
      <c r="K6" s="68"/>
      <c r="L6" s="25"/>
      <c r="M6" s="67"/>
      <c r="N6" s="68"/>
      <c r="O6" s="9"/>
      <c r="P6" s="6"/>
      <c r="Q6" s="1"/>
      <c r="R6" s="1"/>
      <c r="S6" s="1"/>
      <c r="T6" s="1"/>
      <c r="U6" s="1"/>
      <c r="V6" s="1"/>
    </row>
    <row r="7" spans="1:22" ht="18.75">
      <c r="A7" s="31">
        <v>1</v>
      </c>
      <c r="B7" s="6" t="s">
        <v>87</v>
      </c>
      <c r="C7" s="21">
        <v>1040.4</v>
      </c>
      <c r="D7" s="21">
        <v>314.2</v>
      </c>
      <c r="E7" s="21">
        <v>228.4</v>
      </c>
      <c r="F7" s="22"/>
      <c r="G7" s="21"/>
      <c r="H7" s="21">
        <v>57.3</v>
      </c>
      <c r="I7" s="21">
        <v>22.7</v>
      </c>
      <c r="J7" s="21">
        <v>34.2</v>
      </c>
      <c r="K7" s="21">
        <v>5</v>
      </c>
      <c r="L7" s="21"/>
      <c r="M7" s="21"/>
      <c r="N7" s="21"/>
      <c r="O7" s="21"/>
      <c r="P7" s="21">
        <f aca="true" t="shared" si="0" ref="P7:P43">SUM(C7:O7)</f>
        <v>1702.2000000000003</v>
      </c>
      <c r="Q7" s="21">
        <f aca="true" t="shared" si="1" ref="Q7:Q43">P7-L7</f>
        <v>1702.2000000000003</v>
      </c>
      <c r="R7" s="31">
        <v>833</v>
      </c>
      <c r="S7" s="31"/>
      <c r="T7" s="32">
        <f aca="true" t="shared" si="2" ref="T7:T43">ROUND(Q7*1000/(R7+S7),0)</f>
        <v>2043</v>
      </c>
      <c r="U7" s="1"/>
      <c r="V7" s="38">
        <v>14458</v>
      </c>
    </row>
    <row r="8" spans="1:22" ht="18.75">
      <c r="A8" s="31">
        <v>2</v>
      </c>
      <c r="B8" s="6" t="s">
        <v>82</v>
      </c>
      <c r="C8" s="21">
        <v>1042.8</v>
      </c>
      <c r="D8" s="21">
        <v>314.9</v>
      </c>
      <c r="E8" s="21">
        <v>388</v>
      </c>
      <c r="F8" s="22"/>
      <c r="G8" s="21"/>
      <c r="H8" s="21">
        <v>60.4</v>
      </c>
      <c r="I8" s="21">
        <v>24.5</v>
      </c>
      <c r="J8" s="21"/>
      <c r="K8" s="21">
        <v>5</v>
      </c>
      <c r="L8" s="21"/>
      <c r="M8" s="21"/>
      <c r="N8" s="21"/>
      <c r="O8" s="21"/>
      <c r="P8" s="21">
        <f t="shared" si="0"/>
        <v>1835.6</v>
      </c>
      <c r="Q8" s="21">
        <f t="shared" si="1"/>
        <v>1835.6</v>
      </c>
      <c r="R8" s="31">
        <v>800</v>
      </c>
      <c r="S8" s="31"/>
      <c r="T8" s="32">
        <f t="shared" si="2"/>
        <v>2295</v>
      </c>
      <c r="U8" s="1"/>
      <c r="V8" s="38">
        <v>14458</v>
      </c>
    </row>
    <row r="9" spans="1:22" ht="18.75">
      <c r="A9" s="31">
        <v>3</v>
      </c>
      <c r="B9" s="6" t="s">
        <v>86</v>
      </c>
      <c r="C9" s="21">
        <v>1040.4</v>
      </c>
      <c r="D9" s="21">
        <v>314.2</v>
      </c>
      <c r="E9" s="21">
        <v>215.6</v>
      </c>
      <c r="F9" s="22"/>
      <c r="G9" s="21"/>
      <c r="H9" s="21">
        <v>47.9</v>
      </c>
      <c r="I9" s="21">
        <v>21.5</v>
      </c>
      <c r="J9" s="21"/>
      <c r="K9" s="21">
        <v>5.2</v>
      </c>
      <c r="L9" s="21"/>
      <c r="M9" s="21"/>
      <c r="N9" s="21"/>
      <c r="O9" s="21"/>
      <c r="P9" s="21">
        <f t="shared" si="0"/>
        <v>1644.8000000000002</v>
      </c>
      <c r="Q9" s="21">
        <f t="shared" si="1"/>
        <v>1644.8000000000002</v>
      </c>
      <c r="R9" s="31">
        <v>677</v>
      </c>
      <c r="S9" s="31"/>
      <c r="T9" s="32">
        <f t="shared" si="2"/>
        <v>2430</v>
      </c>
      <c r="U9" s="1"/>
      <c r="V9" s="38">
        <v>14458</v>
      </c>
    </row>
    <row r="10" spans="1:22" ht="18.75">
      <c r="A10" s="31">
        <v>4</v>
      </c>
      <c r="B10" s="6" t="s">
        <v>88</v>
      </c>
      <c r="C10" s="21">
        <v>1231.9</v>
      </c>
      <c r="D10" s="21">
        <v>372</v>
      </c>
      <c r="E10" s="21">
        <v>241</v>
      </c>
      <c r="F10" s="22"/>
      <c r="G10" s="21"/>
      <c r="H10" s="21">
        <v>88.5</v>
      </c>
      <c r="I10" s="21">
        <v>26.8</v>
      </c>
      <c r="J10" s="21"/>
      <c r="K10" s="21">
        <v>4</v>
      </c>
      <c r="L10" s="21"/>
      <c r="M10" s="21"/>
      <c r="N10" s="21"/>
      <c r="O10" s="21">
        <v>10</v>
      </c>
      <c r="P10" s="21">
        <f t="shared" si="0"/>
        <v>1974.2</v>
      </c>
      <c r="Q10" s="21">
        <f t="shared" si="1"/>
        <v>1974.2</v>
      </c>
      <c r="R10" s="31">
        <v>733</v>
      </c>
      <c r="S10" s="31"/>
      <c r="T10" s="32">
        <f t="shared" si="2"/>
        <v>2693</v>
      </c>
      <c r="U10" s="1"/>
      <c r="V10" s="38">
        <v>14458</v>
      </c>
    </row>
    <row r="11" spans="1:22" ht="18.75">
      <c r="A11" s="31">
        <v>5</v>
      </c>
      <c r="B11" s="6" t="s">
        <v>84</v>
      </c>
      <c r="C11" s="21">
        <v>1046.3</v>
      </c>
      <c r="D11" s="21">
        <v>316</v>
      </c>
      <c r="E11" s="21">
        <v>146.6</v>
      </c>
      <c r="F11" s="22"/>
      <c r="G11" s="21"/>
      <c r="H11" s="21">
        <v>46.9</v>
      </c>
      <c r="I11" s="21">
        <v>13</v>
      </c>
      <c r="J11" s="21"/>
      <c r="K11" s="21">
        <v>3</v>
      </c>
      <c r="L11" s="21"/>
      <c r="M11" s="21"/>
      <c r="N11" s="21"/>
      <c r="O11" s="21"/>
      <c r="P11" s="21">
        <f t="shared" si="0"/>
        <v>1571.8</v>
      </c>
      <c r="Q11" s="21">
        <f t="shared" si="1"/>
        <v>1571.8</v>
      </c>
      <c r="R11" s="31">
        <v>577</v>
      </c>
      <c r="S11" s="31"/>
      <c r="T11" s="32">
        <f t="shared" si="2"/>
        <v>2724</v>
      </c>
      <c r="U11" s="1"/>
      <c r="V11" s="38">
        <v>14458</v>
      </c>
    </row>
    <row r="12" spans="1:22" ht="18.75">
      <c r="A12" s="31">
        <v>6</v>
      </c>
      <c r="B12" s="6" t="s">
        <v>76</v>
      </c>
      <c r="C12" s="21">
        <v>848.9</v>
      </c>
      <c r="D12" s="21">
        <v>256.4</v>
      </c>
      <c r="E12" s="21">
        <v>176.8</v>
      </c>
      <c r="F12" s="22"/>
      <c r="G12" s="21"/>
      <c r="H12" s="21">
        <v>57.3</v>
      </c>
      <c r="I12" s="21">
        <v>15</v>
      </c>
      <c r="J12" s="21"/>
      <c r="K12" s="21">
        <v>3.5</v>
      </c>
      <c r="L12" s="21"/>
      <c r="M12" s="21"/>
      <c r="N12" s="21"/>
      <c r="O12" s="21"/>
      <c r="P12" s="21">
        <f t="shared" si="0"/>
        <v>1357.8999999999999</v>
      </c>
      <c r="Q12" s="21">
        <f t="shared" si="1"/>
        <v>1357.8999999999999</v>
      </c>
      <c r="R12" s="31">
        <v>442</v>
      </c>
      <c r="S12" s="31"/>
      <c r="T12" s="32">
        <f t="shared" si="2"/>
        <v>3072</v>
      </c>
      <c r="U12" s="1"/>
      <c r="V12" s="38">
        <v>14458</v>
      </c>
    </row>
    <row r="13" spans="1:22" ht="18.75">
      <c r="A13" s="31">
        <v>7</v>
      </c>
      <c r="B13" s="6" t="s">
        <v>79</v>
      </c>
      <c r="C13" s="21">
        <v>1231.8</v>
      </c>
      <c r="D13" s="21">
        <v>372</v>
      </c>
      <c r="E13" s="21">
        <v>259.5</v>
      </c>
      <c r="F13" s="22"/>
      <c r="G13" s="21">
        <v>43.2</v>
      </c>
      <c r="H13" s="21">
        <v>57.3</v>
      </c>
      <c r="I13" s="21">
        <v>16.3</v>
      </c>
      <c r="J13" s="21"/>
      <c r="K13" s="21">
        <v>3.5</v>
      </c>
      <c r="L13" s="21"/>
      <c r="M13" s="21"/>
      <c r="N13" s="21"/>
      <c r="O13" s="21"/>
      <c r="P13" s="21">
        <f t="shared" si="0"/>
        <v>1983.6</v>
      </c>
      <c r="Q13" s="21">
        <f t="shared" si="1"/>
        <v>1983.6</v>
      </c>
      <c r="R13" s="31">
        <v>612</v>
      </c>
      <c r="S13" s="31"/>
      <c r="T13" s="32">
        <f t="shared" si="2"/>
        <v>3241</v>
      </c>
      <c r="U13" s="1"/>
      <c r="V13" s="38">
        <v>14458</v>
      </c>
    </row>
    <row r="14" spans="1:22" ht="18.75">
      <c r="A14" s="31">
        <v>8</v>
      </c>
      <c r="B14" s="6" t="s">
        <v>85</v>
      </c>
      <c r="C14" s="21">
        <v>1097.8</v>
      </c>
      <c r="D14" s="21">
        <v>331.5</v>
      </c>
      <c r="E14" s="21"/>
      <c r="F14" s="22">
        <v>48</v>
      </c>
      <c r="G14" s="21"/>
      <c r="H14" s="21">
        <v>80.2</v>
      </c>
      <c r="I14" s="21">
        <v>7</v>
      </c>
      <c r="J14" s="21"/>
      <c r="K14" s="21">
        <v>3</v>
      </c>
      <c r="L14" s="21"/>
      <c r="M14" s="21"/>
      <c r="N14" s="21"/>
      <c r="O14" s="21"/>
      <c r="P14" s="21">
        <f t="shared" si="0"/>
        <v>1567.5</v>
      </c>
      <c r="Q14" s="21">
        <f t="shared" si="1"/>
        <v>1567.5</v>
      </c>
      <c r="R14" s="31">
        <v>381</v>
      </c>
      <c r="S14" s="31"/>
      <c r="T14" s="32">
        <f t="shared" si="2"/>
        <v>4114</v>
      </c>
      <c r="U14" s="1"/>
      <c r="V14" s="38">
        <v>14458</v>
      </c>
    </row>
    <row r="15" spans="1:22" ht="18.75">
      <c r="A15" s="31">
        <v>9</v>
      </c>
      <c r="B15" s="6" t="s">
        <v>80</v>
      </c>
      <c r="C15" s="21">
        <v>1231.8</v>
      </c>
      <c r="D15" s="21">
        <v>372</v>
      </c>
      <c r="E15" s="21">
        <v>322</v>
      </c>
      <c r="F15" s="22"/>
      <c r="G15" s="21"/>
      <c r="H15" s="21">
        <v>88.5</v>
      </c>
      <c r="I15" s="21">
        <v>16.6</v>
      </c>
      <c r="J15" s="21"/>
      <c r="K15" s="21">
        <v>6.5</v>
      </c>
      <c r="L15" s="21"/>
      <c r="M15" s="21"/>
      <c r="N15" s="21"/>
      <c r="O15" s="21"/>
      <c r="P15" s="21">
        <f t="shared" si="0"/>
        <v>2037.3999999999999</v>
      </c>
      <c r="Q15" s="21">
        <f t="shared" si="1"/>
        <v>2037.3999999999999</v>
      </c>
      <c r="R15" s="31">
        <v>428</v>
      </c>
      <c r="S15" s="31"/>
      <c r="T15" s="32">
        <f t="shared" si="2"/>
        <v>4760</v>
      </c>
      <c r="U15" s="1"/>
      <c r="V15" s="38">
        <v>14458</v>
      </c>
    </row>
    <row r="16" spans="1:22" ht="18.75">
      <c r="A16" s="31">
        <v>10</v>
      </c>
      <c r="B16" s="6" t="s">
        <v>83</v>
      </c>
      <c r="C16" s="21">
        <v>2444.5</v>
      </c>
      <c r="D16" s="21">
        <v>738.2</v>
      </c>
      <c r="E16" s="21">
        <v>213.4</v>
      </c>
      <c r="F16" s="22"/>
      <c r="G16" s="21"/>
      <c r="H16" s="21">
        <v>57.3</v>
      </c>
      <c r="I16" s="21">
        <v>18.3</v>
      </c>
      <c r="J16" s="21"/>
      <c r="K16" s="21">
        <v>5</v>
      </c>
      <c r="L16" s="21"/>
      <c r="M16" s="21"/>
      <c r="N16" s="21"/>
      <c r="O16" s="21"/>
      <c r="P16" s="21">
        <f t="shared" si="0"/>
        <v>3476.7000000000003</v>
      </c>
      <c r="Q16" s="21">
        <f t="shared" si="1"/>
        <v>3476.7000000000003</v>
      </c>
      <c r="R16" s="31">
        <v>690</v>
      </c>
      <c r="S16" s="31"/>
      <c r="T16" s="32">
        <f t="shared" si="2"/>
        <v>5039</v>
      </c>
      <c r="U16" s="1"/>
      <c r="V16" s="38">
        <v>14458</v>
      </c>
    </row>
    <row r="17" spans="1:22" ht="18.75">
      <c r="A17" s="31">
        <v>11</v>
      </c>
      <c r="B17" s="6" t="s">
        <v>56</v>
      </c>
      <c r="C17" s="21">
        <v>1040.4</v>
      </c>
      <c r="D17" s="21">
        <v>314.2</v>
      </c>
      <c r="E17" s="21">
        <v>168.3</v>
      </c>
      <c r="F17" s="22"/>
      <c r="G17" s="21"/>
      <c r="H17" s="21">
        <v>37.5</v>
      </c>
      <c r="I17" s="21">
        <v>8.6</v>
      </c>
      <c r="J17" s="21"/>
      <c r="K17" s="21">
        <v>2</v>
      </c>
      <c r="L17" s="21"/>
      <c r="M17" s="21"/>
      <c r="N17" s="21"/>
      <c r="O17" s="21"/>
      <c r="P17" s="21">
        <f t="shared" si="0"/>
        <v>1571</v>
      </c>
      <c r="Q17" s="21">
        <f t="shared" si="1"/>
        <v>1571</v>
      </c>
      <c r="R17" s="31">
        <v>278</v>
      </c>
      <c r="S17" s="31"/>
      <c r="T17" s="32">
        <f t="shared" si="2"/>
        <v>5651</v>
      </c>
      <c r="U17" s="1"/>
      <c r="V17" s="38">
        <v>14458</v>
      </c>
    </row>
    <row r="18" spans="1:22" ht="18.75">
      <c r="A18" s="31">
        <v>12</v>
      </c>
      <c r="B18" s="6" t="s">
        <v>66</v>
      </c>
      <c r="C18" s="21">
        <v>918.4</v>
      </c>
      <c r="D18" s="21">
        <v>277.4</v>
      </c>
      <c r="E18" s="21"/>
      <c r="F18" s="22">
        <v>51</v>
      </c>
      <c r="G18" s="21"/>
      <c r="H18" s="21">
        <v>35.4</v>
      </c>
      <c r="I18" s="21"/>
      <c r="J18" s="21"/>
      <c r="K18" s="21">
        <v>2</v>
      </c>
      <c r="L18" s="21"/>
      <c r="M18" s="21">
        <v>17.6</v>
      </c>
      <c r="N18" s="21">
        <v>3.5</v>
      </c>
      <c r="O18" s="21"/>
      <c r="P18" s="21">
        <f t="shared" si="0"/>
        <v>1305.3</v>
      </c>
      <c r="Q18" s="21">
        <f t="shared" si="1"/>
        <v>1305.3</v>
      </c>
      <c r="R18" s="31">
        <v>192</v>
      </c>
      <c r="S18" s="31"/>
      <c r="T18" s="32">
        <f t="shared" si="2"/>
        <v>6798</v>
      </c>
      <c r="U18" s="1"/>
      <c r="V18" s="38">
        <v>14458</v>
      </c>
    </row>
    <row r="19" spans="1:22" ht="18.75">
      <c r="A19" s="31">
        <v>14</v>
      </c>
      <c r="B19" s="6" t="s">
        <v>65</v>
      </c>
      <c r="C19" s="21">
        <v>906.4</v>
      </c>
      <c r="D19" s="21">
        <v>273.7</v>
      </c>
      <c r="E19" s="21"/>
      <c r="F19" s="22">
        <v>59.5</v>
      </c>
      <c r="G19" s="21"/>
      <c r="H19" s="21">
        <v>55.2</v>
      </c>
      <c r="I19" s="21">
        <v>1</v>
      </c>
      <c r="J19" s="21"/>
      <c r="K19" s="21">
        <v>2</v>
      </c>
      <c r="L19" s="21"/>
      <c r="M19" s="21"/>
      <c r="N19" s="21"/>
      <c r="O19" s="21"/>
      <c r="P19" s="21">
        <f t="shared" si="0"/>
        <v>1297.8</v>
      </c>
      <c r="Q19" s="21">
        <f t="shared" si="1"/>
        <v>1297.8</v>
      </c>
      <c r="R19" s="31">
        <v>185</v>
      </c>
      <c r="S19" s="31"/>
      <c r="T19" s="32">
        <f t="shared" si="2"/>
        <v>7015</v>
      </c>
      <c r="U19" s="1"/>
      <c r="V19" s="38">
        <v>14458</v>
      </c>
    </row>
    <row r="20" spans="1:22" ht="18.75">
      <c r="A20" s="31">
        <v>13</v>
      </c>
      <c r="B20" s="6" t="s">
        <v>78</v>
      </c>
      <c r="C20" s="21">
        <v>944.8</v>
      </c>
      <c r="D20" s="21">
        <v>285.3</v>
      </c>
      <c r="E20" s="21"/>
      <c r="F20" s="22">
        <v>75</v>
      </c>
      <c r="G20" s="21"/>
      <c r="H20" s="21">
        <v>70.8</v>
      </c>
      <c r="I20" s="21">
        <v>18.3</v>
      </c>
      <c r="J20" s="21"/>
      <c r="K20" s="21">
        <v>3</v>
      </c>
      <c r="L20" s="21"/>
      <c r="M20" s="21"/>
      <c r="N20" s="21"/>
      <c r="O20" s="21"/>
      <c r="P20" s="21">
        <f t="shared" si="0"/>
        <v>1397.1999999999998</v>
      </c>
      <c r="Q20" s="21">
        <f t="shared" si="1"/>
        <v>1397.1999999999998</v>
      </c>
      <c r="R20" s="8">
        <v>198</v>
      </c>
      <c r="S20" s="8"/>
      <c r="T20" s="32">
        <f t="shared" si="2"/>
        <v>7057</v>
      </c>
      <c r="U20" s="1"/>
      <c r="V20" s="38">
        <v>14458</v>
      </c>
    </row>
    <row r="21" spans="1:22" ht="18.75">
      <c r="A21" s="31">
        <v>15</v>
      </c>
      <c r="B21" s="6" t="s">
        <v>89</v>
      </c>
      <c r="C21" s="21">
        <v>849.1</v>
      </c>
      <c r="D21" s="21">
        <v>256.4</v>
      </c>
      <c r="E21" s="21"/>
      <c r="F21" s="22">
        <v>38</v>
      </c>
      <c r="G21" s="21"/>
      <c r="H21" s="21">
        <v>60.4</v>
      </c>
      <c r="I21" s="21">
        <v>9.8</v>
      </c>
      <c r="J21" s="21"/>
      <c r="K21" s="21">
        <v>2</v>
      </c>
      <c r="L21" s="21"/>
      <c r="M21" s="21"/>
      <c r="N21" s="21"/>
      <c r="O21" s="21"/>
      <c r="P21" s="21">
        <f t="shared" si="0"/>
        <v>1215.7</v>
      </c>
      <c r="Q21" s="21">
        <f t="shared" si="1"/>
        <v>1215.7</v>
      </c>
      <c r="R21" s="31">
        <v>168</v>
      </c>
      <c r="S21" s="31"/>
      <c r="T21" s="32">
        <f t="shared" si="2"/>
        <v>7236</v>
      </c>
      <c r="U21" s="1"/>
      <c r="V21" s="38">
        <v>14458</v>
      </c>
    </row>
    <row r="22" spans="1:22" ht="18.75">
      <c r="A22" s="31">
        <v>16</v>
      </c>
      <c r="B22" s="6" t="s">
        <v>75</v>
      </c>
      <c r="C22" s="21">
        <v>1226.7</v>
      </c>
      <c r="D22" s="21">
        <v>370.5</v>
      </c>
      <c r="E22" s="21"/>
      <c r="F22" s="22">
        <v>20</v>
      </c>
      <c r="G22" s="21"/>
      <c r="H22" s="21">
        <v>13.5</v>
      </c>
      <c r="I22" s="21">
        <v>4.3</v>
      </c>
      <c r="J22" s="21"/>
      <c r="K22" s="21"/>
      <c r="L22" s="21"/>
      <c r="M22" s="21"/>
      <c r="N22" s="21"/>
      <c r="O22" s="21"/>
      <c r="P22" s="21">
        <f t="shared" si="0"/>
        <v>1635</v>
      </c>
      <c r="Q22" s="21">
        <f t="shared" si="1"/>
        <v>1635</v>
      </c>
      <c r="R22" s="31">
        <v>224</v>
      </c>
      <c r="S22" s="31"/>
      <c r="T22" s="32">
        <f t="shared" si="2"/>
        <v>7299</v>
      </c>
      <c r="U22" s="1"/>
      <c r="V22" s="38">
        <v>14458</v>
      </c>
    </row>
    <row r="23" spans="1:22" ht="18.75">
      <c r="A23" s="31">
        <v>17</v>
      </c>
      <c r="B23" s="6" t="s">
        <v>77</v>
      </c>
      <c r="C23" s="21">
        <v>849.5</v>
      </c>
      <c r="D23" s="21">
        <v>256.5</v>
      </c>
      <c r="E23" s="21">
        <v>258.7</v>
      </c>
      <c r="F23" s="22"/>
      <c r="G23" s="21"/>
      <c r="H23" s="21">
        <v>52.1</v>
      </c>
      <c r="I23" s="21">
        <v>24</v>
      </c>
      <c r="J23" s="21"/>
      <c r="K23" s="21">
        <v>2.5</v>
      </c>
      <c r="L23" s="21"/>
      <c r="M23" s="21"/>
      <c r="N23" s="21"/>
      <c r="O23" s="21"/>
      <c r="P23" s="21">
        <f t="shared" si="0"/>
        <v>1443.3</v>
      </c>
      <c r="Q23" s="21">
        <f t="shared" si="1"/>
        <v>1443.3</v>
      </c>
      <c r="R23" s="31">
        <v>191</v>
      </c>
      <c r="S23" s="31"/>
      <c r="T23" s="32">
        <f t="shared" si="2"/>
        <v>7557</v>
      </c>
      <c r="U23" s="1"/>
      <c r="V23" s="38">
        <v>14458</v>
      </c>
    </row>
    <row r="24" spans="1:22" ht="18.75">
      <c r="A24" s="31">
        <v>20</v>
      </c>
      <c r="B24" s="6" t="s">
        <v>60</v>
      </c>
      <c r="C24" s="21">
        <v>1103.2</v>
      </c>
      <c r="D24" s="21">
        <v>333.1</v>
      </c>
      <c r="E24" s="21"/>
      <c r="F24" s="22"/>
      <c r="G24" s="21">
        <v>40</v>
      </c>
      <c r="H24" s="21">
        <v>34.4</v>
      </c>
      <c r="I24" s="21">
        <v>6.5</v>
      </c>
      <c r="J24" s="21"/>
      <c r="K24" s="21">
        <v>3</v>
      </c>
      <c r="L24" s="21">
        <v>503.6</v>
      </c>
      <c r="M24" s="21"/>
      <c r="N24" s="21"/>
      <c r="O24" s="21"/>
      <c r="P24" s="21">
        <f t="shared" si="0"/>
        <v>2023.8000000000002</v>
      </c>
      <c r="Q24" s="21">
        <f t="shared" si="1"/>
        <v>1520.2000000000003</v>
      </c>
      <c r="R24" s="31">
        <v>53</v>
      </c>
      <c r="S24" s="31">
        <v>83</v>
      </c>
      <c r="T24" s="32">
        <f t="shared" si="2"/>
        <v>11178</v>
      </c>
      <c r="U24" s="1"/>
      <c r="V24" s="38">
        <v>14458</v>
      </c>
    </row>
    <row r="25" spans="1:22" ht="18.75">
      <c r="A25" s="31">
        <v>18</v>
      </c>
      <c r="B25" s="6" t="s">
        <v>71</v>
      </c>
      <c r="C25" s="21">
        <v>658.9</v>
      </c>
      <c r="D25" s="21">
        <v>199</v>
      </c>
      <c r="E25" s="21"/>
      <c r="F25" s="22">
        <v>22</v>
      </c>
      <c r="G25" s="21"/>
      <c r="H25" s="21">
        <v>14.6</v>
      </c>
      <c r="I25" s="21">
        <v>2.4</v>
      </c>
      <c r="J25" s="21"/>
      <c r="K25" s="21"/>
      <c r="L25" s="21"/>
      <c r="M25" s="21"/>
      <c r="N25" s="21"/>
      <c r="O25" s="21"/>
      <c r="P25" s="21">
        <f t="shared" si="0"/>
        <v>896.9</v>
      </c>
      <c r="Q25" s="21">
        <f t="shared" si="1"/>
        <v>896.9</v>
      </c>
      <c r="R25" s="31">
        <v>76</v>
      </c>
      <c r="S25" s="31"/>
      <c r="T25" s="32">
        <f t="shared" si="2"/>
        <v>11801</v>
      </c>
      <c r="U25" s="1"/>
      <c r="V25" s="38">
        <v>14458</v>
      </c>
    </row>
    <row r="26" spans="1:22" ht="18.75">
      <c r="A26" s="31">
        <v>19</v>
      </c>
      <c r="B26" s="6" t="s">
        <v>59</v>
      </c>
      <c r="C26" s="21">
        <v>944.7</v>
      </c>
      <c r="D26" s="21">
        <v>285.3</v>
      </c>
      <c r="E26" s="21"/>
      <c r="F26" s="22">
        <v>43</v>
      </c>
      <c r="G26" s="21"/>
      <c r="H26" s="21">
        <v>26</v>
      </c>
      <c r="I26" s="21">
        <v>2.2</v>
      </c>
      <c r="J26" s="21"/>
      <c r="K26" s="21"/>
      <c r="L26" s="21"/>
      <c r="M26" s="21"/>
      <c r="N26" s="21"/>
      <c r="O26" s="21"/>
      <c r="P26" s="21">
        <f t="shared" si="0"/>
        <v>1301.2</v>
      </c>
      <c r="Q26" s="21">
        <f t="shared" si="1"/>
        <v>1301.2</v>
      </c>
      <c r="R26" s="31">
        <v>90</v>
      </c>
      <c r="S26" s="31"/>
      <c r="T26" s="37">
        <f t="shared" si="2"/>
        <v>14458</v>
      </c>
      <c r="U26" s="38">
        <v>14458</v>
      </c>
      <c r="V26" s="38">
        <v>14458</v>
      </c>
    </row>
    <row r="27" spans="1:22" ht="18.75">
      <c r="A27" s="31">
        <v>21</v>
      </c>
      <c r="B27" s="6" t="s">
        <v>64</v>
      </c>
      <c r="C27" s="21">
        <v>756.7</v>
      </c>
      <c r="D27" s="21">
        <v>228.5</v>
      </c>
      <c r="E27" s="21"/>
      <c r="F27" s="22">
        <v>33</v>
      </c>
      <c r="G27" s="21"/>
      <c r="H27" s="21">
        <v>31.2</v>
      </c>
      <c r="I27" s="21">
        <v>3.8</v>
      </c>
      <c r="J27" s="21"/>
      <c r="K27" s="21"/>
      <c r="L27" s="21"/>
      <c r="M27" s="21"/>
      <c r="N27" s="21"/>
      <c r="O27" s="21"/>
      <c r="P27" s="21">
        <f t="shared" si="0"/>
        <v>1053.2</v>
      </c>
      <c r="Q27" s="21">
        <f t="shared" si="1"/>
        <v>1053.2</v>
      </c>
      <c r="R27" s="31">
        <v>71</v>
      </c>
      <c r="S27" s="31"/>
      <c r="T27" s="32">
        <f t="shared" si="2"/>
        <v>14834</v>
      </c>
      <c r="U27" s="1"/>
      <c r="V27" s="38">
        <v>14458</v>
      </c>
    </row>
    <row r="28" spans="1:22" ht="18.75">
      <c r="A28" s="31">
        <v>23</v>
      </c>
      <c r="B28" s="6" t="s">
        <v>81</v>
      </c>
      <c r="C28" s="21">
        <v>1455</v>
      </c>
      <c r="D28" s="21">
        <v>439.4</v>
      </c>
      <c r="E28" s="21"/>
      <c r="F28" s="22"/>
      <c r="G28" s="21"/>
      <c r="H28" s="21">
        <v>28.5</v>
      </c>
      <c r="I28" s="21">
        <v>2.2</v>
      </c>
      <c r="J28" s="21"/>
      <c r="K28" s="21"/>
      <c r="L28" s="21"/>
      <c r="M28" s="21">
        <v>81.5</v>
      </c>
      <c r="N28" s="21">
        <v>5</v>
      </c>
      <c r="O28" s="21"/>
      <c r="P28" s="21">
        <f t="shared" si="0"/>
        <v>2011.6000000000001</v>
      </c>
      <c r="Q28" s="21">
        <f t="shared" si="1"/>
        <v>2011.6000000000001</v>
      </c>
      <c r="R28" s="31">
        <v>131</v>
      </c>
      <c r="S28" s="31"/>
      <c r="T28" s="32">
        <f t="shared" si="2"/>
        <v>15356</v>
      </c>
      <c r="U28" s="1"/>
      <c r="V28" s="38">
        <v>14458</v>
      </c>
    </row>
    <row r="29" spans="1:22" ht="18.75">
      <c r="A29" s="31">
        <v>22</v>
      </c>
      <c r="B29" s="6" t="s">
        <v>54</v>
      </c>
      <c r="C29" s="21">
        <v>758.9</v>
      </c>
      <c r="D29" s="21">
        <v>229.2</v>
      </c>
      <c r="E29" s="21"/>
      <c r="F29" s="22">
        <v>24</v>
      </c>
      <c r="G29" s="21"/>
      <c r="H29" s="21">
        <v>22.8</v>
      </c>
      <c r="I29" s="21"/>
      <c r="J29" s="21"/>
      <c r="K29" s="21"/>
      <c r="L29" s="21"/>
      <c r="M29" s="21"/>
      <c r="N29" s="21"/>
      <c r="O29" s="21"/>
      <c r="P29" s="21">
        <f t="shared" si="0"/>
        <v>1034.8999999999999</v>
      </c>
      <c r="Q29" s="21">
        <f t="shared" si="1"/>
        <v>1034.8999999999999</v>
      </c>
      <c r="R29" s="31">
        <v>67</v>
      </c>
      <c r="S29" s="31"/>
      <c r="T29" s="32">
        <f t="shared" si="2"/>
        <v>15446</v>
      </c>
      <c r="U29" s="1"/>
      <c r="V29" s="38">
        <v>14458</v>
      </c>
    </row>
    <row r="30" spans="1:22" ht="18.75">
      <c r="A30" s="31">
        <v>24</v>
      </c>
      <c r="B30" s="6" t="s">
        <v>63</v>
      </c>
      <c r="C30" s="21">
        <v>1159.2</v>
      </c>
      <c r="D30" s="21">
        <v>350.1</v>
      </c>
      <c r="E30" s="21"/>
      <c r="F30" s="22">
        <v>42</v>
      </c>
      <c r="G30" s="21"/>
      <c r="H30" s="21">
        <v>44.8</v>
      </c>
      <c r="I30" s="21">
        <v>5.4</v>
      </c>
      <c r="J30" s="21"/>
      <c r="K30" s="21"/>
      <c r="L30" s="21"/>
      <c r="M30" s="21"/>
      <c r="N30" s="21"/>
      <c r="O30" s="21"/>
      <c r="P30" s="21">
        <f t="shared" si="0"/>
        <v>1601.5000000000002</v>
      </c>
      <c r="Q30" s="21">
        <f t="shared" si="1"/>
        <v>1601.5000000000002</v>
      </c>
      <c r="R30" s="31">
        <v>80</v>
      </c>
      <c r="S30" s="31"/>
      <c r="T30" s="32">
        <f t="shared" si="2"/>
        <v>20019</v>
      </c>
      <c r="U30" s="1"/>
      <c r="V30" s="38">
        <v>14458</v>
      </c>
    </row>
    <row r="31" spans="1:22" s="4" customFormat="1" ht="18.75">
      <c r="A31" s="31">
        <v>25</v>
      </c>
      <c r="B31" s="6" t="s">
        <v>90</v>
      </c>
      <c r="C31" s="21">
        <v>1228.5</v>
      </c>
      <c r="D31" s="21">
        <v>371</v>
      </c>
      <c r="E31" s="21"/>
      <c r="F31" s="23">
        <v>22</v>
      </c>
      <c r="G31" s="21"/>
      <c r="H31" s="21">
        <v>35</v>
      </c>
      <c r="I31" s="21"/>
      <c r="J31" s="21"/>
      <c r="K31" s="21"/>
      <c r="L31" s="21"/>
      <c r="M31" s="21"/>
      <c r="N31" s="21"/>
      <c r="O31" s="21"/>
      <c r="P31" s="21">
        <f t="shared" si="0"/>
        <v>1656.5</v>
      </c>
      <c r="Q31" s="21">
        <f t="shared" si="1"/>
        <v>1656.5</v>
      </c>
      <c r="R31" s="31">
        <v>74</v>
      </c>
      <c r="S31" s="31"/>
      <c r="T31" s="32">
        <f t="shared" si="2"/>
        <v>22385</v>
      </c>
      <c r="U31" s="6"/>
      <c r="V31" s="38">
        <v>14458</v>
      </c>
    </row>
    <row r="32" spans="1:22" ht="18.75">
      <c r="A32" s="31">
        <v>26</v>
      </c>
      <c r="B32" s="6" t="s">
        <v>58</v>
      </c>
      <c r="C32" s="21">
        <v>1734.6</v>
      </c>
      <c r="D32" s="21">
        <v>523.8</v>
      </c>
      <c r="E32" s="21"/>
      <c r="F32" s="22"/>
      <c r="G32" s="21"/>
      <c r="H32" s="21">
        <v>24</v>
      </c>
      <c r="I32" s="21"/>
      <c r="J32" s="21"/>
      <c r="K32" s="21"/>
      <c r="L32" s="21"/>
      <c r="M32" s="21">
        <v>82</v>
      </c>
      <c r="N32" s="21">
        <v>5</v>
      </c>
      <c r="O32" s="21"/>
      <c r="P32" s="21">
        <f t="shared" si="0"/>
        <v>2369.3999999999996</v>
      </c>
      <c r="Q32" s="21">
        <f t="shared" si="1"/>
        <v>2369.3999999999996</v>
      </c>
      <c r="R32" s="31">
        <v>100</v>
      </c>
      <c r="S32" s="31"/>
      <c r="T32" s="32">
        <f t="shared" si="2"/>
        <v>23694</v>
      </c>
      <c r="U32" s="1"/>
      <c r="V32" s="38">
        <v>14458</v>
      </c>
    </row>
    <row r="33" spans="1:22" ht="18.75">
      <c r="A33" s="31">
        <v>27</v>
      </c>
      <c r="B33" s="6" t="s">
        <v>68</v>
      </c>
      <c r="C33" s="21">
        <v>1231.3</v>
      </c>
      <c r="D33" s="21">
        <v>371.9</v>
      </c>
      <c r="E33" s="21"/>
      <c r="F33" s="22">
        <v>20</v>
      </c>
      <c r="G33" s="21"/>
      <c r="H33" s="21">
        <v>12.5</v>
      </c>
      <c r="I33" s="29"/>
      <c r="J33" s="21"/>
      <c r="K33" s="21"/>
      <c r="L33" s="21"/>
      <c r="M33" s="21"/>
      <c r="N33" s="21"/>
      <c r="O33" s="21"/>
      <c r="P33" s="21">
        <f t="shared" si="0"/>
        <v>1635.6999999999998</v>
      </c>
      <c r="Q33" s="21">
        <f t="shared" si="1"/>
        <v>1635.6999999999998</v>
      </c>
      <c r="R33" s="31">
        <v>68</v>
      </c>
      <c r="S33" s="31"/>
      <c r="T33" s="32">
        <f t="shared" si="2"/>
        <v>24054</v>
      </c>
      <c r="U33" s="1"/>
      <c r="V33" s="38">
        <v>14458</v>
      </c>
    </row>
    <row r="34" spans="1:22" ht="18.75">
      <c r="A34" s="31">
        <v>31</v>
      </c>
      <c r="B34" s="6" t="s">
        <v>61</v>
      </c>
      <c r="C34" s="21">
        <v>1919.1</v>
      </c>
      <c r="D34" s="21">
        <v>579.6</v>
      </c>
      <c r="E34" s="21"/>
      <c r="F34" s="22"/>
      <c r="G34" s="21"/>
      <c r="H34" s="21">
        <v>111.9</v>
      </c>
      <c r="I34" s="21"/>
      <c r="J34" s="21"/>
      <c r="K34" s="21"/>
      <c r="L34" s="21"/>
      <c r="M34" s="21">
        <v>289.9</v>
      </c>
      <c r="N34" s="21">
        <v>5</v>
      </c>
      <c r="O34" s="21"/>
      <c r="P34" s="21">
        <f t="shared" si="0"/>
        <v>2905.5</v>
      </c>
      <c r="Q34" s="21">
        <f t="shared" si="1"/>
        <v>2905.5</v>
      </c>
      <c r="R34" s="31">
        <v>82</v>
      </c>
      <c r="S34" s="31">
        <v>19</v>
      </c>
      <c r="T34" s="32">
        <f t="shared" si="2"/>
        <v>28767</v>
      </c>
      <c r="U34" s="1"/>
      <c r="V34" s="38">
        <v>14458</v>
      </c>
    </row>
    <row r="35" spans="1:22" ht="18.75">
      <c r="A35" s="31">
        <v>34</v>
      </c>
      <c r="B35" s="6" t="s">
        <v>72</v>
      </c>
      <c r="C35" s="21">
        <v>906.5</v>
      </c>
      <c r="D35" s="21">
        <v>273.8</v>
      </c>
      <c r="E35" s="21"/>
      <c r="F35" s="22">
        <v>13</v>
      </c>
      <c r="G35" s="21"/>
      <c r="H35" s="21">
        <v>26</v>
      </c>
      <c r="I35" s="21"/>
      <c r="J35" s="21"/>
      <c r="K35" s="21"/>
      <c r="L35" s="21"/>
      <c r="M35" s="21"/>
      <c r="N35" s="21"/>
      <c r="O35" s="21"/>
      <c r="P35" s="21">
        <f t="shared" si="0"/>
        <v>1219.3</v>
      </c>
      <c r="Q35" s="21">
        <f t="shared" si="1"/>
        <v>1219.3</v>
      </c>
      <c r="R35" s="31">
        <v>29</v>
      </c>
      <c r="S35" s="31">
        <v>12</v>
      </c>
      <c r="T35" s="32">
        <f t="shared" si="2"/>
        <v>29739</v>
      </c>
      <c r="U35" s="1"/>
      <c r="V35" s="38">
        <v>14458</v>
      </c>
    </row>
    <row r="36" spans="1:22" ht="18.75">
      <c r="A36" s="31">
        <v>28</v>
      </c>
      <c r="B36" s="6" t="s">
        <v>70</v>
      </c>
      <c r="C36" s="21">
        <v>1316.8</v>
      </c>
      <c r="D36" s="21">
        <v>397.7</v>
      </c>
      <c r="E36" s="21"/>
      <c r="F36" s="22">
        <v>21</v>
      </c>
      <c r="G36" s="21"/>
      <c r="H36" s="21">
        <v>14.6</v>
      </c>
      <c r="I36" s="21">
        <v>3.2</v>
      </c>
      <c r="J36" s="21"/>
      <c r="K36" s="21"/>
      <c r="L36" s="21"/>
      <c r="M36" s="21"/>
      <c r="N36" s="21"/>
      <c r="O36" s="21"/>
      <c r="P36" s="21">
        <f t="shared" si="0"/>
        <v>1753.3</v>
      </c>
      <c r="Q36" s="21">
        <f t="shared" si="1"/>
        <v>1753.3</v>
      </c>
      <c r="R36" s="31">
        <v>56</v>
      </c>
      <c r="S36" s="31"/>
      <c r="T36" s="32">
        <f t="shared" si="2"/>
        <v>31309</v>
      </c>
      <c r="U36" s="1"/>
      <c r="V36" s="38">
        <v>14458</v>
      </c>
    </row>
    <row r="37" spans="1:22" ht="18.75">
      <c r="A37" s="31">
        <v>36</v>
      </c>
      <c r="B37" s="6" t="s">
        <v>62</v>
      </c>
      <c r="C37" s="21">
        <v>1011.6</v>
      </c>
      <c r="D37" s="21">
        <v>305.5</v>
      </c>
      <c r="E37" s="21"/>
      <c r="F37" s="22">
        <v>21</v>
      </c>
      <c r="G37" s="21"/>
      <c r="H37" s="21">
        <v>24</v>
      </c>
      <c r="I37" s="21"/>
      <c r="J37" s="21"/>
      <c r="K37" s="21"/>
      <c r="L37" s="21"/>
      <c r="M37" s="21"/>
      <c r="N37" s="21"/>
      <c r="O37" s="21"/>
      <c r="P37" s="21">
        <f t="shared" si="0"/>
        <v>1362.1</v>
      </c>
      <c r="Q37" s="21">
        <f t="shared" si="1"/>
        <v>1362.1</v>
      </c>
      <c r="R37" s="31">
        <v>28</v>
      </c>
      <c r="S37" s="31">
        <v>15</v>
      </c>
      <c r="T37" s="32">
        <f t="shared" si="2"/>
        <v>31677</v>
      </c>
      <c r="U37" s="1"/>
      <c r="V37" s="38">
        <v>14458</v>
      </c>
    </row>
    <row r="38" spans="1:22" ht="18.75">
      <c r="A38" s="31">
        <v>29</v>
      </c>
      <c r="B38" s="6" t="s">
        <v>55</v>
      </c>
      <c r="C38" s="21">
        <v>664.8</v>
      </c>
      <c r="D38" s="21">
        <v>200.8</v>
      </c>
      <c r="E38" s="21"/>
      <c r="F38" s="22">
        <v>13</v>
      </c>
      <c r="G38" s="21"/>
      <c r="H38" s="21">
        <v>12.5</v>
      </c>
      <c r="I38" s="21"/>
      <c r="J38" s="21"/>
      <c r="K38" s="21"/>
      <c r="L38" s="21"/>
      <c r="M38" s="21"/>
      <c r="N38" s="21"/>
      <c r="O38" s="21"/>
      <c r="P38" s="21">
        <f t="shared" si="0"/>
        <v>891.0999999999999</v>
      </c>
      <c r="Q38" s="21">
        <f t="shared" si="1"/>
        <v>891.0999999999999</v>
      </c>
      <c r="R38" s="31">
        <v>28</v>
      </c>
      <c r="S38" s="31"/>
      <c r="T38" s="32">
        <f t="shared" si="2"/>
        <v>31825</v>
      </c>
      <c r="U38" s="1"/>
      <c r="V38" s="38">
        <v>14458</v>
      </c>
    </row>
    <row r="39" spans="1:22" ht="18.75">
      <c r="A39" s="31">
        <v>30</v>
      </c>
      <c r="B39" s="6" t="s">
        <v>73</v>
      </c>
      <c r="C39" s="21">
        <v>1129.1</v>
      </c>
      <c r="D39" s="21">
        <v>341</v>
      </c>
      <c r="E39" s="21"/>
      <c r="F39" s="22"/>
      <c r="G39" s="21"/>
      <c r="H39" s="21">
        <v>41.7</v>
      </c>
      <c r="I39" s="21"/>
      <c r="J39" s="21"/>
      <c r="K39" s="21"/>
      <c r="L39" s="21"/>
      <c r="M39" s="21">
        <v>126.9</v>
      </c>
      <c r="N39" s="21">
        <v>5</v>
      </c>
      <c r="O39" s="21"/>
      <c r="P39" s="21">
        <f t="shared" si="0"/>
        <v>1643.7</v>
      </c>
      <c r="Q39" s="21">
        <f t="shared" si="1"/>
        <v>1643.7</v>
      </c>
      <c r="R39" s="31">
        <v>48</v>
      </c>
      <c r="S39" s="31"/>
      <c r="T39" s="32">
        <f t="shared" si="2"/>
        <v>34244</v>
      </c>
      <c r="U39" s="1"/>
      <c r="V39" s="38">
        <v>14458</v>
      </c>
    </row>
    <row r="40" spans="1:22" ht="18.75">
      <c r="A40" s="31">
        <v>33</v>
      </c>
      <c r="B40" s="6" t="s">
        <v>67</v>
      </c>
      <c r="C40" s="21">
        <v>1493.6</v>
      </c>
      <c r="D40" s="21">
        <v>451.1</v>
      </c>
      <c r="E40" s="21"/>
      <c r="F40" s="22"/>
      <c r="G40" s="21"/>
      <c r="H40" s="21">
        <v>21.9</v>
      </c>
      <c r="I40" s="21">
        <v>1</v>
      </c>
      <c r="J40" s="21"/>
      <c r="K40" s="21"/>
      <c r="L40" s="21">
        <v>34.7</v>
      </c>
      <c r="M40" s="21">
        <v>90.3</v>
      </c>
      <c r="N40" s="21">
        <v>5</v>
      </c>
      <c r="O40" s="21"/>
      <c r="P40" s="21">
        <f t="shared" si="0"/>
        <v>2097.6</v>
      </c>
      <c r="Q40" s="21">
        <f t="shared" si="1"/>
        <v>2062.9</v>
      </c>
      <c r="R40" s="31">
        <v>46</v>
      </c>
      <c r="S40" s="31">
        <v>6</v>
      </c>
      <c r="T40" s="32">
        <f t="shared" si="2"/>
        <v>39671</v>
      </c>
      <c r="U40" s="1"/>
      <c r="V40" s="38">
        <v>14458</v>
      </c>
    </row>
    <row r="41" spans="1:22" ht="18.75">
      <c r="A41" s="31">
        <v>32</v>
      </c>
      <c r="B41" s="6" t="s">
        <v>69</v>
      </c>
      <c r="C41" s="21">
        <v>1140.9</v>
      </c>
      <c r="D41" s="21">
        <v>344.6</v>
      </c>
      <c r="E41" s="21"/>
      <c r="F41" s="22"/>
      <c r="G41" s="21"/>
      <c r="H41" s="21">
        <v>13.5</v>
      </c>
      <c r="I41" s="21"/>
      <c r="J41" s="21"/>
      <c r="K41" s="21"/>
      <c r="L41" s="21"/>
      <c r="M41" s="21">
        <v>55.9</v>
      </c>
      <c r="N41" s="21">
        <v>5</v>
      </c>
      <c r="O41" s="21"/>
      <c r="P41" s="21">
        <f t="shared" si="0"/>
        <v>1559.9</v>
      </c>
      <c r="Q41" s="21">
        <f t="shared" si="1"/>
        <v>1559.9</v>
      </c>
      <c r="R41" s="31">
        <v>39</v>
      </c>
      <c r="S41" s="31"/>
      <c r="T41" s="32">
        <f t="shared" si="2"/>
        <v>39997</v>
      </c>
      <c r="U41" s="1"/>
      <c r="V41" s="38">
        <v>14458</v>
      </c>
    </row>
    <row r="42" spans="1:22" ht="18.75">
      <c r="A42" s="53">
        <v>35</v>
      </c>
      <c r="B42" s="46" t="s">
        <v>74</v>
      </c>
      <c r="C42" s="47">
        <v>1143.5</v>
      </c>
      <c r="D42" s="47">
        <v>345.3</v>
      </c>
      <c r="E42" s="47"/>
      <c r="F42" s="48"/>
      <c r="G42" s="47"/>
      <c r="H42" s="47">
        <v>16.7</v>
      </c>
      <c r="I42" s="47"/>
      <c r="J42" s="47"/>
      <c r="K42" s="47"/>
      <c r="L42" s="47"/>
      <c r="M42" s="47">
        <v>86.9</v>
      </c>
      <c r="N42" s="47">
        <v>5</v>
      </c>
      <c r="O42" s="47"/>
      <c r="P42" s="47">
        <f t="shared" si="0"/>
        <v>1597.4</v>
      </c>
      <c r="Q42" s="47">
        <f t="shared" si="1"/>
        <v>1597.4</v>
      </c>
      <c r="R42" s="53">
        <v>37</v>
      </c>
      <c r="S42" s="53"/>
      <c r="T42" s="49">
        <f t="shared" si="2"/>
        <v>43173</v>
      </c>
      <c r="U42" s="54"/>
      <c r="V42" s="55">
        <v>14458</v>
      </c>
    </row>
    <row r="43" spans="1:22" ht="18.75">
      <c r="A43" s="31">
        <v>37</v>
      </c>
      <c r="B43" s="6" t="s">
        <v>57</v>
      </c>
      <c r="C43" s="21">
        <v>1244.1</v>
      </c>
      <c r="D43" s="21">
        <v>375.7</v>
      </c>
      <c r="E43" s="21"/>
      <c r="F43" s="21"/>
      <c r="G43" s="21"/>
      <c r="H43" s="21">
        <v>22.9</v>
      </c>
      <c r="I43" s="21"/>
      <c r="J43" s="21"/>
      <c r="K43" s="21"/>
      <c r="L43" s="21"/>
      <c r="M43" s="21">
        <v>104.5</v>
      </c>
      <c r="N43" s="21">
        <v>5</v>
      </c>
      <c r="O43" s="21"/>
      <c r="P43" s="21">
        <f t="shared" si="0"/>
        <v>1752.2</v>
      </c>
      <c r="Q43" s="21">
        <f t="shared" si="1"/>
        <v>1752.2</v>
      </c>
      <c r="R43" s="31">
        <v>33</v>
      </c>
      <c r="S43" s="31"/>
      <c r="T43" s="32">
        <f t="shared" si="2"/>
        <v>53097</v>
      </c>
      <c r="U43" s="1"/>
      <c r="V43" s="38">
        <v>14458</v>
      </c>
    </row>
    <row r="44" spans="2:19" s="56" customFormat="1" ht="18.75">
      <c r="B44" s="4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4"/>
      <c r="S44" s="34"/>
    </row>
    <row r="45" spans="3:16" s="4" customFormat="1" ht="18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8"/>
    </row>
    <row r="46" spans="3:16" ht="18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8" ht="18.75">
      <c r="P48" s="11"/>
    </row>
  </sheetData>
  <sheetProtection/>
  <autoFilter ref="T6:T43">
    <sortState ref="T7:T48">
      <sortCondition sortBy="value" ref="T7:T48"/>
    </sortState>
  </autoFilter>
  <mergeCells count="14">
    <mergeCell ref="R4:R5"/>
    <mergeCell ref="S4:S5"/>
    <mergeCell ref="T4:T5"/>
    <mergeCell ref="U4:U5"/>
    <mergeCell ref="V4:V5"/>
    <mergeCell ref="J6:K6"/>
    <mergeCell ref="M6:N6"/>
    <mergeCell ref="M1:Q1"/>
    <mergeCell ref="A4:A5"/>
    <mergeCell ref="B4:B5"/>
    <mergeCell ref="C4:O4"/>
    <mergeCell ref="P4:P5"/>
    <mergeCell ref="Q4:Q5"/>
    <mergeCell ref="C2:Q2"/>
  </mergeCells>
  <printOptions/>
  <pageMargins left="0" right="0" top="0" bottom="0" header="0.5118110236220472" footer="0.5118110236220472"/>
  <pageSetup horizontalDpi="600" verticalDpi="600" orientation="landscape" paperSize="9" scale="50" r:id="rId1"/>
  <colBreaks count="1" manualBreakCount="1">
    <brk id="1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tabSelected="1" view="pageBreakPreview" zoomScale="80" zoomScaleNormal="70" zoomScaleSheetLayoutView="8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K2"/>
    </sheetView>
  </sheetViews>
  <sheetFormatPr defaultColWidth="8.88671875" defaultRowHeight="18.75"/>
  <cols>
    <col min="2" max="2" width="28.6640625" style="0" customWidth="1"/>
    <col min="3" max="4" width="21.88671875" style="0" customWidth="1"/>
    <col min="5" max="5" width="24.77734375" style="0" customWidth="1"/>
    <col min="6" max="6" width="28.4453125" style="0" customWidth="1"/>
    <col min="7" max="7" width="21.5546875" style="0" customWidth="1"/>
    <col min="8" max="8" width="24.3359375" style="0" customWidth="1"/>
    <col min="9" max="9" width="23.3359375" style="0" customWidth="1"/>
    <col min="10" max="10" width="24.6640625" style="0" customWidth="1"/>
    <col min="11" max="11" width="26.10546875" style="0" customWidth="1"/>
  </cols>
  <sheetData>
    <row r="1" spans="9:14" s="18" customFormat="1" ht="18.75">
      <c r="I1" s="72" t="s">
        <v>91</v>
      </c>
      <c r="J1" s="72"/>
      <c r="K1" s="72"/>
      <c r="L1" s="40"/>
      <c r="M1" s="40"/>
      <c r="N1" s="40"/>
    </row>
    <row r="2" spans="1:11" s="18" customFormat="1" ht="57" customHeight="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6.25" customHeight="1">
      <c r="A4" s="62" t="s">
        <v>0</v>
      </c>
      <c r="B4" s="62" t="s">
        <v>45</v>
      </c>
      <c r="C4" s="74" t="s">
        <v>92</v>
      </c>
      <c r="D4" s="75"/>
      <c r="E4" s="76"/>
      <c r="F4" s="74" t="s">
        <v>93</v>
      </c>
      <c r="G4" s="75"/>
      <c r="H4" s="76"/>
      <c r="I4" s="74" t="s">
        <v>97</v>
      </c>
      <c r="J4" s="75"/>
      <c r="K4" s="76"/>
    </row>
    <row r="5" spans="1:11" s="15" customFormat="1" ht="265.5" customHeight="1">
      <c r="A5" s="62"/>
      <c r="B5" s="62"/>
      <c r="C5" s="39" t="s">
        <v>53</v>
      </c>
      <c r="D5" s="39" t="s">
        <v>94</v>
      </c>
      <c r="E5" s="39" t="s">
        <v>95</v>
      </c>
      <c r="F5" s="39" t="s">
        <v>53</v>
      </c>
      <c r="G5" s="39" t="s">
        <v>94</v>
      </c>
      <c r="H5" s="39" t="s">
        <v>95</v>
      </c>
      <c r="I5" s="39" t="s">
        <v>53</v>
      </c>
      <c r="J5" s="39" t="s">
        <v>94</v>
      </c>
      <c r="K5" s="39" t="s">
        <v>95</v>
      </c>
    </row>
    <row r="6" spans="1:11" s="4" customFormat="1" ht="18.75">
      <c r="A6" s="8">
        <v>1</v>
      </c>
      <c r="B6" s="6" t="s">
        <v>87</v>
      </c>
      <c r="C6" s="32">
        <v>20162</v>
      </c>
      <c r="D6" s="41"/>
      <c r="E6" s="41"/>
      <c r="F6" s="32">
        <v>19354</v>
      </c>
      <c r="G6" s="32"/>
      <c r="H6" s="32"/>
      <c r="I6" s="32">
        <v>14458</v>
      </c>
      <c r="J6" s="41"/>
      <c r="K6" s="6"/>
    </row>
    <row r="7" spans="1:11" s="4" customFormat="1" ht="18.75">
      <c r="A7" s="8">
        <v>2</v>
      </c>
      <c r="B7" s="6" t="s">
        <v>86</v>
      </c>
      <c r="C7" s="32">
        <v>20162</v>
      </c>
      <c r="D7" s="41"/>
      <c r="E7" s="41"/>
      <c r="F7" s="32">
        <v>19354</v>
      </c>
      <c r="G7" s="32"/>
      <c r="H7" s="32"/>
      <c r="I7" s="32">
        <v>14458</v>
      </c>
      <c r="J7" s="41"/>
      <c r="K7" s="6"/>
    </row>
    <row r="8" spans="1:11" s="4" customFormat="1" ht="18.75">
      <c r="A8" s="8">
        <v>3</v>
      </c>
      <c r="B8" s="6" t="s">
        <v>84</v>
      </c>
      <c r="C8" s="32">
        <v>20162</v>
      </c>
      <c r="D8" s="41"/>
      <c r="E8" s="41"/>
      <c r="F8" s="32">
        <v>19354</v>
      </c>
      <c r="G8" s="32"/>
      <c r="H8" s="32"/>
      <c r="I8" s="32">
        <v>14458</v>
      </c>
      <c r="J8" s="41"/>
      <c r="K8" s="6"/>
    </row>
    <row r="9" spans="1:11" s="4" customFormat="1" ht="18.75">
      <c r="A9" s="8">
        <v>4</v>
      </c>
      <c r="B9" s="6" t="s">
        <v>82</v>
      </c>
      <c r="C9" s="32">
        <v>20162</v>
      </c>
      <c r="D9" s="41"/>
      <c r="E9" s="41"/>
      <c r="F9" s="32">
        <v>19354</v>
      </c>
      <c r="G9" s="6"/>
      <c r="H9" s="6"/>
      <c r="I9" s="32">
        <v>14458</v>
      </c>
      <c r="J9" s="41"/>
      <c r="K9" s="6"/>
    </row>
    <row r="10" spans="1:11" s="4" customFormat="1" ht="18.75">
      <c r="A10" s="8">
        <v>5</v>
      </c>
      <c r="B10" s="6" t="s">
        <v>88</v>
      </c>
      <c r="C10" s="32">
        <v>20162</v>
      </c>
      <c r="D10" s="41"/>
      <c r="E10" s="41"/>
      <c r="F10" s="32">
        <v>19354</v>
      </c>
      <c r="G10" s="6"/>
      <c r="H10" s="6"/>
      <c r="I10" s="32">
        <v>14458</v>
      </c>
      <c r="J10" s="41"/>
      <c r="K10" s="6"/>
    </row>
    <row r="11" spans="1:11" s="4" customFormat="1" ht="18.75">
      <c r="A11" s="8">
        <v>6</v>
      </c>
      <c r="B11" s="6" t="s">
        <v>76</v>
      </c>
      <c r="C11" s="32">
        <v>20162</v>
      </c>
      <c r="D11" s="41"/>
      <c r="E11" s="41"/>
      <c r="F11" s="32">
        <v>19354</v>
      </c>
      <c r="G11" s="6"/>
      <c r="H11" s="6"/>
      <c r="I11" s="32">
        <v>14458</v>
      </c>
      <c r="J11" s="41"/>
      <c r="K11" s="6"/>
    </row>
    <row r="12" spans="1:11" s="4" customFormat="1" ht="18.75">
      <c r="A12" s="8">
        <v>7</v>
      </c>
      <c r="B12" s="6" t="s">
        <v>79</v>
      </c>
      <c r="C12" s="32">
        <v>20162</v>
      </c>
      <c r="D12" s="41"/>
      <c r="E12" s="41"/>
      <c r="F12" s="32">
        <v>19354</v>
      </c>
      <c r="G12" s="6"/>
      <c r="H12" s="6"/>
      <c r="I12" s="32">
        <v>14458</v>
      </c>
      <c r="J12" s="41"/>
      <c r="K12" s="6"/>
    </row>
    <row r="13" spans="1:11" s="4" customFormat="1" ht="18.75">
      <c r="A13" s="8">
        <v>8</v>
      </c>
      <c r="B13" s="6" t="s">
        <v>83</v>
      </c>
      <c r="C13" s="32">
        <v>20162</v>
      </c>
      <c r="D13" s="41"/>
      <c r="E13" s="41"/>
      <c r="F13" s="32">
        <v>19354</v>
      </c>
      <c r="G13" s="6"/>
      <c r="H13" s="6"/>
      <c r="I13" s="32">
        <v>14458</v>
      </c>
      <c r="J13" s="41"/>
      <c r="K13" s="6"/>
    </row>
    <row r="14" spans="1:11" s="4" customFormat="1" ht="18.75">
      <c r="A14" s="8">
        <v>9</v>
      </c>
      <c r="B14" s="6" t="s">
        <v>75</v>
      </c>
      <c r="C14" s="32">
        <v>20162</v>
      </c>
      <c r="D14" s="41"/>
      <c r="E14" s="41"/>
      <c r="F14" s="32">
        <v>19354</v>
      </c>
      <c r="G14" s="6"/>
      <c r="H14" s="6"/>
      <c r="I14" s="32">
        <v>14458</v>
      </c>
      <c r="J14" s="41"/>
      <c r="K14" s="6"/>
    </row>
    <row r="15" spans="1:11" s="4" customFormat="1" ht="18.75">
      <c r="A15" s="8">
        <v>10</v>
      </c>
      <c r="B15" s="6" t="s">
        <v>85</v>
      </c>
      <c r="C15" s="32">
        <v>20162</v>
      </c>
      <c r="D15" s="41"/>
      <c r="E15" s="41"/>
      <c r="F15" s="32">
        <v>19354</v>
      </c>
      <c r="G15" s="6"/>
      <c r="H15" s="6"/>
      <c r="I15" s="32">
        <v>14458</v>
      </c>
      <c r="J15" s="41"/>
      <c r="K15" s="6"/>
    </row>
    <row r="16" spans="1:11" s="4" customFormat="1" ht="18.75">
      <c r="A16" s="8">
        <v>11</v>
      </c>
      <c r="B16" s="6" t="s">
        <v>56</v>
      </c>
      <c r="C16" s="32">
        <v>20162</v>
      </c>
      <c r="D16" s="41"/>
      <c r="E16" s="41"/>
      <c r="F16" s="32">
        <v>19354</v>
      </c>
      <c r="G16" s="6"/>
      <c r="H16" s="6"/>
      <c r="I16" s="32">
        <v>14458</v>
      </c>
      <c r="J16" s="41"/>
      <c r="K16" s="6"/>
    </row>
    <row r="17" spans="1:11" s="4" customFormat="1" ht="18.75">
      <c r="A17" s="8">
        <v>12</v>
      </c>
      <c r="B17" s="6" t="s">
        <v>80</v>
      </c>
      <c r="C17" s="32">
        <v>20162</v>
      </c>
      <c r="D17" s="41"/>
      <c r="E17" s="41"/>
      <c r="F17" s="32">
        <v>19354</v>
      </c>
      <c r="G17" s="6"/>
      <c r="H17" s="6"/>
      <c r="I17" s="32">
        <v>14458</v>
      </c>
      <c r="J17" s="41"/>
      <c r="K17" s="6"/>
    </row>
    <row r="18" spans="1:11" s="4" customFormat="1" ht="18.75">
      <c r="A18" s="8">
        <v>13</v>
      </c>
      <c r="B18" s="6" t="s">
        <v>66</v>
      </c>
      <c r="C18" s="32">
        <v>20162</v>
      </c>
      <c r="D18" s="41"/>
      <c r="E18" s="41"/>
      <c r="F18" s="32">
        <v>19354</v>
      </c>
      <c r="G18" s="6"/>
      <c r="H18" s="6"/>
      <c r="I18" s="32">
        <v>14458</v>
      </c>
      <c r="J18" s="41"/>
      <c r="K18" s="6"/>
    </row>
    <row r="19" spans="1:11" s="4" customFormat="1" ht="18.75">
      <c r="A19" s="8">
        <v>14</v>
      </c>
      <c r="B19" s="6" t="s">
        <v>65</v>
      </c>
      <c r="C19" s="32">
        <v>20162</v>
      </c>
      <c r="D19" s="41"/>
      <c r="E19" s="41"/>
      <c r="F19" s="32">
        <v>19354</v>
      </c>
      <c r="G19" s="6"/>
      <c r="H19" s="6"/>
      <c r="I19" s="32">
        <v>14458</v>
      </c>
      <c r="J19" s="41"/>
      <c r="K19" s="6"/>
    </row>
    <row r="20" spans="1:11" s="4" customFormat="1" ht="18.75">
      <c r="A20" s="8">
        <v>15</v>
      </c>
      <c r="B20" s="6" t="s">
        <v>89</v>
      </c>
      <c r="C20" s="32">
        <v>20162</v>
      </c>
      <c r="D20" s="41"/>
      <c r="E20" s="41"/>
      <c r="F20" s="32">
        <v>19354</v>
      </c>
      <c r="G20" s="6"/>
      <c r="H20" s="6"/>
      <c r="I20" s="32">
        <v>14458</v>
      </c>
      <c r="J20" s="41"/>
      <c r="K20" s="6"/>
    </row>
    <row r="21" spans="1:11" s="4" customFormat="1" ht="18.75">
      <c r="A21" s="8">
        <v>16</v>
      </c>
      <c r="B21" s="6" t="s">
        <v>60</v>
      </c>
      <c r="C21" s="32">
        <v>20162</v>
      </c>
      <c r="D21" s="32">
        <v>10081</v>
      </c>
      <c r="E21" s="32">
        <f>C21-D21</f>
        <v>10081</v>
      </c>
      <c r="F21" s="32">
        <v>19354</v>
      </c>
      <c r="G21" s="32">
        <f>ROUND(F21/2,0)</f>
        <v>9677</v>
      </c>
      <c r="H21" s="32">
        <f>F21-G21</f>
        <v>9677</v>
      </c>
      <c r="I21" s="32">
        <v>14458</v>
      </c>
      <c r="J21" s="32">
        <f>ROUND(I21/2,0)</f>
        <v>7229</v>
      </c>
      <c r="K21" s="32">
        <f>I21-J21</f>
        <v>7229</v>
      </c>
    </row>
    <row r="22" spans="1:11" s="4" customFormat="1" ht="18.75">
      <c r="A22" s="8">
        <v>17</v>
      </c>
      <c r="B22" s="6" t="s">
        <v>78</v>
      </c>
      <c r="C22" s="32">
        <v>20162</v>
      </c>
      <c r="D22" s="32"/>
      <c r="E22" s="32"/>
      <c r="F22" s="32">
        <v>19354</v>
      </c>
      <c r="G22" s="32"/>
      <c r="H22" s="32"/>
      <c r="I22" s="32">
        <v>14458</v>
      </c>
      <c r="J22" s="32"/>
      <c r="K22" s="32"/>
    </row>
    <row r="23" spans="1:11" s="4" customFormat="1" ht="18.75">
      <c r="A23" s="8">
        <v>18</v>
      </c>
      <c r="B23" s="6" t="s">
        <v>71</v>
      </c>
      <c r="C23" s="32">
        <v>20162</v>
      </c>
      <c r="D23" s="41"/>
      <c r="E23" s="41"/>
      <c r="F23" s="32">
        <v>19354</v>
      </c>
      <c r="G23" s="6"/>
      <c r="H23" s="6"/>
      <c r="I23" s="32">
        <v>14458</v>
      </c>
      <c r="J23" s="41"/>
      <c r="K23" s="6"/>
    </row>
    <row r="24" spans="1:11" s="4" customFormat="1" ht="18.75">
      <c r="A24" s="8">
        <v>19</v>
      </c>
      <c r="B24" s="6" t="s">
        <v>77</v>
      </c>
      <c r="C24" s="32">
        <v>20162</v>
      </c>
      <c r="D24" s="41"/>
      <c r="E24" s="41"/>
      <c r="F24" s="32">
        <v>19354</v>
      </c>
      <c r="G24" s="6"/>
      <c r="H24" s="6"/>
      <c r="I24" s="32">
        <v>14458</v>
      </c>
      <c r="J24" s="41"/>
      <c r="K24" s="6"/>
    </row>
    <row r="25" spans="1:11" s="4" customFormat="1" ht="18.75">
      <c r="A25" s="8">
        <v>20</v>
      </c>
      <c r="B25" s="6" t="s">
        <v>59</v>
      </c>
      <c r="C25" s="32">
        <v>20162</v>
      </c>
      <c r="D25" s="41"/>
      <c r="E25" s="41"/>
      <c r="F25" s="32">
        <v>19354</v>
      </c>
      <c r="G25" s="6"/>
      <c r="H25" s="6"/>
      <c r="I25" s="32">
        <v>14458</v>
      </c>
      <c r="J25" s="41"/>
      <c r="K25" s="6"/>
    </row>
    <row r="26" spans="1:11" s="4" customFormat="1" ht="18.75">
      <c r="A26" s="8">
        <v>21</v>
      </c>
      <c r="B26" s="6" t="s">
        <v>54</v>
      </c>
      <c r="C26" s="32">
        <v>20162</v>
      </c>
      <c r="D26" s="41"/>
      <c r="E26" s="41"/>
      <c r="F26" s="32">
        <v>19354</v>
      </c>
      <c r="G26" s="6"/>
      <c r="H26" s="6"/>
      <c r="I26" s="32">
        <v>14458</v>
      </c>
      <c r="J26" s="41"/>
      <c r="K26" s="6"/>
    </row>
    <row r="27" spans="1:11" s="4" customFormat="1" ht="18.75">
      <c r="A27" s="8">
        <v>22</v>
      </c>
      <c r="B27" s="6" t="s">
        <v>81</v>
      </c>
      <c r="C27" s="32">
        <v>20162</v>
      </c>
      <c r="D27" s="41"/>
      <c r="E27" s="41"/>
      <c r="F27" s="32">
        <v>19354</v>
      </c>
      <c r="G27" s="6"/>
      <c r="H27" s="6"/>
      <c r="I27" s="32">
        <v>14458</v>
      </c>
      <c r="J27" s="41"/>
      <c r="K27" s="6"/>
    </row>
    <row r="28" spans="1:11" s="4" customFormat="1" ht="18.75">
      <c r="A28" s="8">
        <v>23</v>
      </c>
      <c r="B28" s="6" t="s">
        <v>64</v>
      </c>
      <c r="C28" s="32">
        <v>20162</v>
      </c>
      <c r="D28" s="41"/>
      <c r="E28" s="41"/>
      <c r="F28" s="32">
        <v>19354</v>
      </c>
      <c r="G28" s="6"/>
      <c r="H28" s="6"/>
      <c r="I28" s="32">
        <v>14458</v>
      </c>
      <c r="J28" s="41"/>
      <c r="K28" s="6"/>
    </row>
    <row r="29" spans="1:11" s="4" customFormat="1" ht="18.75">
      <c r="A29" s="8">
        <v>24</v>
      </c>
      <c r="B29" s="6" t="s">
        <v>68</v>
      </c>
      <c r="C29" s="32">
        <v>20162</v>
      </c>
      <c r="D29" s="41"/>
      <c r="E29" s="41"/>
      <c r="F29" s="32">
        <v>19354</v>
      </c>
      <c r="G29" s="6"/>
      <c r="H29" s="6"/>
      <c r="I29" s="32">
        <v>14458</v>
      </c>
      <c r="J29" s="41"/>
      <c r="K29" s="6"/>
    </row>
    <row r="30" spans="1:11" s="4" customFormat="1" ht="18.75">
      <c r="A30" s="8">
        <v>25</v>
      </c>
      <c r="B30" s="6" t="s">
        <v>90</v>
      </c>
      <c r="C30" s="32">
        <v>20162</v>
      </c>
      <c r="D30" s="41"/>
      <c r="E30" s="41"/>
      <c r="F30" s="32">
        <v>19354</v>
      </c>
      <c r="G30" s="6"/>
      <c r="H30" s="6"/>
      <c r="I30" s="32">
        <v>14458</v>
      </c>
      <c r="J30" s="41"/>
      <c r="K30" s="6"/>
    </row>
    <row r="31" spans="1:11" s="4" customFormat="1" ht="18.75">
      <c r="A31" s="8">
        <v>26</v>
      </c>
      <c r="B31" s="6" t="s">
        <v>63</v>
      </c>
      <c r="C31" s="32">
        <v>20162</v>
      </c>
      <c r="D31" s="41"/>
      <c r="E31" s="41"/>
      <c r="F31" s="32">
        <v>19354</v>
      </c>
      <c r="G31" s="6"/>
      <c r="H31" s="6"/>
      <c r="I31" s="32">
        <v>14458</v>
      </c>
      <c r="J31" s="41"/>
      <c r="K31" s="6"/>
    </row>
    <row r="32" spans="1:11" s="4" customFormat="1" ht="18.75">
      <c r="A32" s="8">
        <v>27</v>
      </c>
      <c r="B32" s="6" t="s">
        <v>58</v>
      </c>
      <c r="C32" s="32">
        <v>20162</v>
      </c>
      <c r="D32" s="41"/>
      <c r="E32" s="41"/>
      <c r="F32" s="32">
        <v>19354</v>
      </c>
      <c r="G32" s="6"/>
      <c r="H32" s="6"/>
      <c r="I32" s="32">
        <v>14458</v>
      </c>
      <c r="J32" s="41"/>
      <c r="K32" s="6"/>
    </row>
    <row r="33" spans="1:11" s="4" customFormat="1" ht="18.75">
      <c r="A33" s="8">
        <v>28</v>
      </c>
      <c r="B33" s="6" t="s">
        <v>70</v>
      </c>
      <c r="C33" s="32">
        <v>20162</v>
      </c>
      <c r="D33" s="41"/>
      <c r="E33" s="41"/>
      <c r="F33" s="32">
        <v>19354</v>
      </c>
      <c r="G33" s="6"/>
      <c r="H33" s="6"/>
      <c r="I33" s="32">
        <v>14458</v>
      </c>
      <c r="J33" s="41"/>
      <c r="K33" s="6"/>
    </row>
    <row r="34" spans="1:11" s="4" customFormat="1" ht="18.75">
      <c r="A34" s="8">
        <v>29</v>
      </c>
      <c r="B34" s="6" t="s">
        <v>55</v>
      </c>
      <c r="C34" s="32">
        <v>20162</v>
      </c>
      <c r="D34" s="41"/>
      <c r="E34" s="41"/>
      <c r="F34" s="32">
        <v>19354</v>
      </c>
      <c r="G34" s="6"/>
      <c r="H34" s="6"/>
      <c r="I34" s="32">
        <v>14458</v>
      </c>
      <c r="J34" s="41"/>
      <c r="K34" s="6"/>
    </row>
    <row r="35" spans="1:11" s="4" customFormat="1" ht="18.75">
      <c r="A35" s="8">
        <v>30</v>
      </c>
      <c r="B35" s="6" t="s">
        <v>72</v>
      </c>
      <c r="C35" s="32">
        <v>20162</v>
      </c>
      <c r="D35" s="32">
        <f>ROUND(C35/2,0)</f>
        <v>10081</v>
      </c>
      <c r="E35" s="32">
        <f>C35-D35</f>
        <v>10081</v>
      </c>
      <c r="F35" s="32">
        <v>19354</v>
      </c>
      <c r="G35" s="32">
        <f>ROUND(F35/2,0)</f>
        <v>9677</v>
      </c>
      <c r="H35" s="32">
        <f>F35-G35</f>
        <v>9677</v>
      </c>
      <c r="I35" s="32">
        <v>14458</v>
      </c>
      <c r="J35" s="32">
        <f>ROUND(I35/2,0)</f>
        <v>7229</v>
      </c>
      <c r="K35" s="32">
        <f>I35-J35</f>
        <v>7229</v>
      </c>
    </row>
    <row r="36" spans="1:11" s="4" customFormat="1" ht="18.75">
      <c r="A36" s="8">
        <v>31</v>
      </c>
      <c r="B36" s="6" t="s">
        <v>69</v>
      </c>
      <c r="C36" s="32">
        <v>20162</v>
      </c>
      <c r="D36" s="41"/>
      <c r="E36" s="41"/>
      <c r="F36" s="32">
        <v>19354</v>
      </c>
      <c r="G36" s="6"/>
      <c r="H36" s="6"/>
      <c r="I36" s="32">
        <v>14458</v>
      </c>
      <c r="J36" s="41"/>
      <c r="K36" s="6"/>
    </row>
    <row r="37" spans="1:11" s="4" customFormat="1" ht="18.75">
      <c r="A37" s="8">
        <v>32</v>
      </c>
      <c r="B37" s="6" t="s">
        <v>67</v>
      </c>
      <c r="C37" s="32">
        <v>20162</v>
      </c>
      <c r="D37" s="32">
        <f>ROUND(C37/2,0)</f>
        <v>10081</v>
      </c>
      <c r="E37" s="32">
        <f>C37-D37</f>
        <v>10081</v>
      </c>
      <c r="F37" s="32">
        <v>19354</v>
      </c>
      <c r="G37" s="32">
        <f>ROUND(F37/2,0)</f>
        <v>9677</v>
      </c>
      <c r="H37" s="32">
        <f>F37-G37</f>
        <v>9677</v>
      </c>
      <c r="I37" s="32">
        <v>14458</v>
      </c>
      <c r="J37" s="32">
        <f>ROUND(I37/2,0)</f>
        <v>7229</v>
      </c>
      <c r="K37" s="32">
        <f>I37-J37</f>
        <v>7229</v>
      </c>
    </row>
    <row r="38" spans="1:11" s="4" customFormat="1" ht="18.75">
      <c r="A38" s="8">
        <v>33</v>
      </c>
      <c r="B38" s="6" t="s">
        <v>62</v>
      </c>
      <c r="C38" s="32">
        <v>20162</v>
      </c>
      <c r="D38" s="32">
        <f>ROUND(C38/2,0)</f>
        <v>10081</v>
      </c>
      <c r="E38" s="32">
        <f>C38-D38</f>
        <v>10081</v>
      </c>
      <c r="F38" s="32">
        <v>19354</v>
      </c>
      <c r="G38" s="32">
        <f>ROUND(F38/2,0)</f>
        <v>9677</v>
      </c>
      <c r="H38" s="32">
        <f>F38-G38</f>
        <v>9677</v>
      </c>
      <c r="I38" s="32">
        <v>14458</v>
      </c>
      <c r="J38" s="32">
        <f>ROUND(I38/2,0)</f>
        <v>7229</v>
      </c>
      <c r="K38" s="32">
        <f>I38-J38</f>
        <v>7229</v>
      </c>
    </row>
    <row r="39" spans="1:11" s="4" customFormat="1" ht="18.75">
      <c r="A39" s="8">
        <v>34</v>
      </c>
      <c r="B39" s="6" t="s">
        <v>73</v>
      </c>
      <c r="C39" s="32">
        <v>20162</v>
      </c>
      <c r="D39" s="41"/>
      <c r="E39" s="41"/>
      <c r="F39" s="32">
        <v>19354</v>
      </c>
      <c r="G39" s="6"/>
      <c r="H39" s="6"/>
      <c r="I39" s="32">
        <v>14458</v>
      </c>
      <c r="J39" s="41"/>
      <c r="K39" s="6"/>
    </row>
    <row r="40" spans="1:11" s="4" customFormat="1" ht="18.75">
      <c r="A40" s="8">
        <v>35</v>
      </c>
      <c r="B40" s="6" t="s">
        <v>74</v>
      </c>
      <c r="C40" s="32">
        <v>20162</v>
      </c>
      <c r="D40" s="41"/>
      <c r="E40" s="41"/>
      <c r="F40" s="32">
        <v>19354</v>
      </c>
      <c r="G40" s="6"/>
      <c r="H40" s="6"/>
      <c r="I40" s="32">
        <v>14458</v>
      </c>
      <c r="J40" s="41"/>
      <c r="K40" s="6"/>
    </row>
    <row r="41" spans="1:11" s="4" customFormat="1" ht="18.75">
      <c r="A41" s="8">
        <v>36</v>
      </c>
      <c r="B41" s="6" t="s">
        <v>61</v>
      </c>
      <c r="C41" s="32">
        <v>20162</v>
      </c>
      <c r="D41" s="32">
        <f>ROUND(C41/2,0)</f>
        <v>10081</v>
      </c>
      <c r="E41" s="32">
        <f>C41-D41</f>
        <v>10081</v>
      </c>
      <c r="F41" s="32">
        <v>19354</v>
      </c>
      <c r="G41" s="32">
        <f>ROUND(F41/2,0)</f>
        <v>9677</v>
      </c>
      <c r="H41" s="32">
        <f>F41-G41</f>
        <v>9677</v>
      </c>
      <c r="I41" s="32">
        <v>14458</v>
      </c>
      <c r="J41" s="32">
        <f>ROUND(I41/2,0)</f>
        <v>7229</v>
      </c>
      <c r="K41" s="32">
        <f>I41-J41</f>
        <v>7229</v>
      </c>
    </row>
    <row r="42" spans="1:11" s="4" customFormat="1" ht="18.75">
      <c r="A42" s="8">
        <v>37</v>
      </c>
      <c r="B42" s="6" t="s">
        <v>57</v>
      </c>
      <c r="C42" s="32">
        <v>20162</v>
      </c>
      <c r="D42" s="41"/>
      <c r="E42" s="41"/>
      <c r="F42" s="32">
        <v>19354</v>
      </c>
      <c r="G42" s="6"/>
      <c r="H42" s="6"/>
      <c r="I42" s="32">
        <v>14458</v>
      </c>
      <c r="J42" s="41"/>
      <c r="K42" s="6"/>
    </row>
    <row r="43" spans="3:10" s="44" customFormat="1" ht="18.75">
      <c r="C43" s="28"/>
      <c r="D43" s="28"/>
      <c r="E43" s="28"/>
      <c r="F43" s="28"/>
      <c r="G43" s="28"/>
      <c r="H43" s="28"/>
      <c r="I43" s="28"/>
      <c r="J43" s="28"/>
    </row>
    <row r="44" spans="3:10" s="4" customFormat="1" ht="18.75">
      <c r="C44" s="5"/>
      <c r="D44" s="5"/>
      <c r="E44" s="5"/>
      <c r="F44" s="5"/>
      <c r="G44" s="5"/>
      <c r="H44" s="5"/>
      <c r="I44" s="5"/>
      <c r="J44" s="5"/>
    </row>
    <row r="45" spans="3:10" ht="18.75">
      <c r="C45" s="3"/>
      <c r="D45" s="3"/>
      <c r="E45" s="3"/>
      <c r="F45" s="3"/>
      <c r="G45" s="3"/>
      <c r="H45" s="3"/>
      <c r="I45" s="3"/>
      <c r="J45" s="3"/>
    </row>
  </sheetData>
  <sheetProtection/>
  <mergeCells count="7">
    <mergeCell ref="I1:K1"/>
    <mergeCell ref="A2:K2"/>
    <mergeCell ref="A4:A5"/>
    <mergeCell ref="B4:B5"/>
    <mergeCell ref="C4:E4"/>
    <mergeCell ref="F4:H4"/>
    <mergeCell ref="I4:K4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Экономист</cp:lastModifiedBy>
  <cp:lastPrinted>2023-05-26T09:45:38Z</cp:lastPrinted>
  <dcterms:modified xsi:type="dcterms:W3CDTF">2023-05-26T09:45:41Z</dcterms:modified>
  <cp:category/>
  <cp:version/>
  <cp:contentType/>
  <cp:contentStatus/>
</cp:coreProperties>
</file>