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15" windowWidth="12120" windowHeight="7455" activeTab="0"/>
  </bookViews>
  <sheets>
    <sheet name="Школы-началка" sheetId="1" r:id="rId1"/>
    <sheet name="Школы-основная" sheetId="2" r:id="rId2"/>
    <sheet name="Школы-средняя" sheetId="3" r:id="rId3"/>
    <sheet name="Допобразование" sheetId="4" r:id="rId4"/>
    <sheet name="Коррекция" sheetId="5" r:id="rId5"/>
    <sheet name="ППК" sheetId="6" r:id="rId6"/>
    <sheet name="Работы" sheetId="7" r:id="rId7"/>
    <sheet name="Свод в приказ" sheetId="8" r:id="rId8"/>
  </sheets>
  <externalReferences>
    <externalReference r:id="rId11"/>
    <externalReference r:id="rId12"/>
  </externalReferences>
  <definedNames>
    <definedName name="_xlnm.Print_Titles" localSheetId="3">'Допобразование'!$A:$B,'Допобразование'!$3:$6</definedName>
    <definedName name="_xlnm.Print_Titles" localSheetId="4">'Коррекция'!$A:$B,'Коррекция'!$3:$6</definedName>
    <definedName name="_xlnm.Print_Titles" localSheetId="5">'ППК'!$A:$B,'ППК'!$3:$5</definedName>
    <definedName name="_xlnm.Print_Titles" localSheetId="7">'Свод в приказ'!$A:$B,'Свод в приказ'!$3:$4</definedName>
    <definedName name="_xlnm.Print_Titles" localSheetId="0">'Школы-началка'!$A:$B,'Школы-началка'!$3:$6</definedName>
    <definedName name="_xlnm.Print_Titles" localSheetId="1">'Школы-основная'!$A:$B,'Школы-основная'!$3:$6</definedName>
    <definedName name="_xlnm.Print_Titles" localSheetId="2">'Школы-средняя'!$A:$B,'Школы-средняя'!$3:$6</definedName>
    <definedName name="_xlnm.Print_Area" localSheetId="3">'Допобразование'!$A$1:$M$46</definedName>
    <definedName name="_xlnm.Print_Area" localSheetId="4">'Коррекция'!$A$1:$H$46</definedName>
    <definedName name="_xlnm.Print_Area" localSheetId="5">'ППК'!$A$1:$H$45</definedName>
    <definedName name="_xlnm.Print_Area" localSheetId="6">'Работы'!$A$1:$I$45</definedName>
    <definedName name="_xlnm.Print_Area" localSheetId="7">'Свод в приказ'!$A$1:$H$44</definedName>
    <definedName name="_xlnm.Print_Area" localSheetId="0">'Школы-началка'!$A$1:$X$47</definedName>
    <definedName name="_xlnm.Print_Area" localSheetId="1">'Школы-основная'!$A$1:$Z$47</definedName>
    <definedName name="_xlnm.Print_Area" localSheetId="2">'Школы-средняя'!$A$1:$V$47</definedName>
  </definedNames>
  <calcPr fullCalcOnLoad="1"/>
</workbook>
</file>

<file path=xl/sharedStrings.xml><?xml version="1.0" encoding="utf-8"?>
<sst xmlns="http://schemas.openxmlformats.org/spreadsheetml/2006/main" count="553" uniqueCount="96">
  <si>
    <t>СОШ №1</t>
  </si>
  <si>
    <t>СОШ №3</t>
  </si>
  <si>
    <t>СОШ №4</t>
  </si>
  <si>
    <t>СОШ №5</t>
  </si>
  <si>
    <t>СОШ №6</t>
  </si>
  <si>
    <t>СОШ №17</t>
  </si>
  <si>
    <t>Богатовская ООШ</t>
  </si>
  <si>
    <t>СОШ №9</t>
  </si>
  <si>
    <t>СОШ №10</t>
  </si>
  <si>
    <t>СОШ №11</t>
  </si>
  <si>
    <t>СОШ №12</t>
  </si>
  <si>
    <t>ООШ №2</t>
  </si>
  <si>
    <t>СОШ №14</t>
  </si>
  <si>
    <t>СОШ №15</t>
  </si>
  <si>
    <t>ООШ №3</t>
  </si>
  <si>
    <t>ООШ №4</t>
  </si>
  <si>
    <t>СОШ №7</t>
  </si>
  <si>
    <t>СОШ №8</t>
  </si>
  <si>
    <t>Апанасовская СОШ</t>
  </si>
  <si>
    <t>Богураевская СОШ</t>
  </si>
  <si>
    <t>Чапаевская СОШ</t>
  </si>
  <si>
    <t>Какичевская ООШ</t>
  </si>
  <si>
    <t>Головская ООШ</t>
  </si>
  <si>
    <t>Грушевская СОШ</t>
  </si>
  <si>
    <t>Голубинская СОШ</t>
  </si>
  <si>
    <t>Поцелуевская ООШ</t>
  </si>
  <si>
    <t>Ильинская СОШ</t>
  </si>
  <si>
    <t>Процико-Березовская ООШ</t>
  </si>
  <si>
    <t>Краснодонецкая СОШ</t>
  </si>
  <si>
    <t>Крутинская СОШ</t>
  </si>
  <si>
    <t>Погореловская ООШ</t>
  </si>
  <si>
    <t>Ленинская СОШ</t>
  </si>
  <si>
    <t>Литвиновская СОШ</t>
  </si>
  <si>
    <t>Сосновская СОШ</t>
  </si>
  <si>
    <t>Нижнепоповская ООШ</t>
  </si>
  <si>
    <t>Нижнесеребряковская ООШ</t>
  </si>
  <si>
    <t>Насонтовская ООШ</t>
  </si>
  <si>
    <t>№п/п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</si>
  <si>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</si>
  <si>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</si>
  <si>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</si>
  <si>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адаптированная образовательная программ</t>
  </si>
  <si>
    <t>дети-инвалиды</t>
  </si>
  <si>
    <t>обучающиеся, за исключением обучающихся с ОВЗ и детей-инвалидов</t>
  </si>
  <si>
    <t>обучающиеся с ОВЗ</t>
  </si>
  <si>
    <t>реализация дополнительных общеразвивающих программ</t>
  </si>
  <si>
    <t>обучающиеся</t>
  </si>
  <si>
    <t>естественно-научное направление, чел-час</t>
  </si>
  <si>
    <t>туристко-краеведческое направление, чел-час</t>
  </si>
  <si>
    <t>физкультурно-спортивное направление, чел-час</t>
  </si>
  <si>
    <t>социально-педагогическое направление, чел-час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</si>
  <si>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</si>
  <si>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реализация коррекционно-развивающей, компенсирующей и логопедической помощи</t>
  </si>
  <si>
    <t>основная образовательная программ</t>
  </si>
  <si>
    <t>техническое (научно-техническое) направление, чел-час</t>
  </si>
  <si>
    <t>художественное (художественно-эстетическое) направление, чел-час</t>
  </si>
  <si>
    <t>обучающиеся с ОВЗ на дому</t>
  </si>
  <si>
    <t>профильное обучение</t>
  </si>
  <si>
    <t>дети-инвалиды на дому</t>
  </si>
  <si>
    <t>НШ  №1</t>
  </si>
  <si>
    <t>СОШ №2</t>
  </si>
  <si>
    <t>основная образовательная программ-профильное обучение</t>
  </si>
  <si>
    <t>город</t>
  </si>
  <si>
    <t>село</t>
  </si>
  <si>
    <t>Наименование и объём работы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</si>
  <si>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(научно-иссследовательской) деятельности, творческой деятельности, физкультурно-спортивной деятельности</t>
  </si>
  <si>
    <t>количество мероприятий</t>
  </si>
  <si>
    <t>количество участников мероприятий</t>
  </si>
  <si>
    <t>по максимальному объёму-СОШ-9</t>
  </si>
  <si>
    <t>чел.</t>
  </si>
  <si>
    <t>Потребители муниципальной услуги</t>
  </si>
  <si>
    <t>Наименование общеобразовательной организации</t>
  </si>
  <si>
    <t>Режим работы, количество дней работы в неделю</t>
  </si>
  <si>
    <t>Наименование и объём  муниципальной услуги</t>
  </si>
  <si>
    <t>Итого общеобразовательные организации</t>
  </si>
  <si>
    <t>№ п/п</t>
  </si>
  <si>
    <t>Наименование и объем муниципальной услуги</t>
  </si>
  <si>
    <t>Базовый норматив затрат на общехозяйственные нужды на одного обучающегося , руб./год</t>
  </si>
  <si>
    <t>Отраслевой корректирующий  коэффициент затрат на общехозяйственные нужды, учитывающий режим работы учреждения (5,6 дней в неделю) и виды благоустройства</t>
  </si>
  <si>
    <t xml:space="preserve"> Расходы на общехозяйственные нужды на одного обучающегося , руб./год</t>
  </si>
  <si>
    <t>Приложение №2</t>
  </si>
  <si>
    <t>Приложение №3</t>
  </si>
  <si>
    <t>Приложение №4</t>
  </si>
  <si>
    <t>Приложение №5</t>
  </si>
  <si>
    <t>Приложение №6</t>
  </si>
  <si>
    <t>Приложение №7</t>
  </si>
  <si>
    <t>Финансовое обеспечение  муниципальных услуг  в части расходов на общехозяйственные нужды на май-декабрь 2018 года,  тыс. руб.</t>
  </si>
  <si>
    <t>Финансовое обеспечение  муниципальных заданий  в части расходов на общехозяйственные нужды на 01.01.2018 года,  тыс. руб.</t>
  </si>
  <si>
    <t>Финансовое обеспечение  муниципальных заданий  в части расходов на общехозяйственные нужды на январь-апрель 2018 года,  тыс. руб.</t>
  </si>
  <si>
    <t>Финансовое обеспечение  муниципальных заданий  в части расходов на общехозяйственные нужды на май-декабрь 2018 года,  тыс. руб.</t>
  </si>
  <si>
    <t>Увеличение финансового обеспечения  муниципальных заданий  в части расходов на общехозяйственные нужды в связи с увеличением МРОТ с 01.05.2018 года до 11163 рублей, тыс. руб.</t>
  </si>
  <si>
    <t>Отраслевой корректирующий  коэффициент затрат на общехозяйственные нужды, учитывающий увеличение МРОТ с 01.05.2018 года до 11163 рублей</t>
  </si>
  <si>
    <t>Приложение №1</t>
  </si>
  <si>
    <t>Приложение №19</t>
  </si>
  <si>
    <t>Финансовое обеспечение  муниципальных заданий  в части расходов на общехозяйственные нужды на  2018 год по состоянию на 01.05.2018 года,  тыс. руб.</t>
  </si>
  <si>
    <t>Увеличение Финансового обеспечения  муниципальных заданий  в части расходов на общехозяйственные нужды на  2018 год по состоянию на 01.05.2018 года,  тыс. руб.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</si>
</sst>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53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 Cyr"/>
      <family val="0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 Cyr"/>
      <family val="0"/>
    </font>
    <font>
      <sz val="12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7" fillId="33" borderId="0" xfId="54" applyFont="1" applyFill="1" applyAlignment="1">
      <alignment horizontal="center"/>
      <protection/>
    </xf>
    <xf numFmtId="177" fontId="7" fillId="33" borderId="0" xfId="54" applyNumberFormat="1" applyFont="1" applyFill="1" applyAlignment="1">
      <alignment horizontal="center"/>
      <protection/>
    </xf>
    <xf numFmtId="0" fontId="6" fillId="33" borderId="0" xfId="54" applyFont="1" applyFill="1">
      <alignment/>
      <protection/>
    </xf>
    <xf numFmtId="177" fontId="5" fillId="33" borderId="0" xfId="54" applyNumberFormat="1" applyFont="1" applyFill="1">
      <alignment/>
      <protection/>
    </xf>
    <xf numFmtId="0" fontId="8" fillId="33" borderId="0" xfId="54" applyFont="1" applyFill="1">
      <alignment/>
      <protection/>
    </xf>
    <xf numFmtId="2" fontId="7" fillId="33" borderId="10" xfId="54" applyNumberFormat="1" applyFont="1" applyFill="1" applyBorder="1" applyAlignment="1">
      <alignment vertical="top" wrapText="1"/>
      <protection/>
    </xf>
    <xf numFmtId="2" fontId="7" fillId="33" borderId="11" xfId="54" applyNumberFormat="1" applyFont="1" applyFill="1" applyBorder="1" applyAlignment="1">
      <alignment vertical="top" wrapText="1"/>
      <protection/>
    </xf>
    <xf numFmtId="2" fontId="7" fillId="33" borderId="0" xfId="54" applyNumberFormat="1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177" fontId="7" fillId="33" borderId="0" xfId="54" applyNumberFormat="1" applyFont="1" applyFill="1" applyBorder="1">
      <alignment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horizontal="center"/>
      <protection/>
    </xf>
    <xf numFmtId="3" fontId="8" fillId="33" borderId="0" xfId="54" applyNumberFormat="1" applyFont="1" applyFill="1" applyBorder="1">
      <alignment/>
      <protection/>
    </xf>
    <xf numFmtId="0" fontId="5" fillId="33" borderId="12" xfId="54" applyFont="1" applyFill="1" applyBorder="1" applyAlignment="1">
      <alignment horizontal="center"/>
      <protection/>
    </xf>
    <xf numFmtId="0" fontId="5" fillId="33" borderId="13" xfId="54" applyFont="1" applyFill="1" applyBorder="1" applyAlignment="1">
      <alignment horizontal="left"/>
      <protection/>
    </xf>
    <xf numFmtId="0" fontId="11" fillId="33" borderId="14" xfId="54" applyFont="1" applyFill="1" applyBorder="1" applyAlignment="1">
      <alignment horizontal="center"/>
      <protection/>
    </xf>
    <xf numFmtId="0" fontId="5" fillId="33" borderId="13" xfId="54" applyFont="1" applyFill="1" applyBorder="1" applyAlignment="1">
      <alignment horizontal="center"/>
      <protection/>
    </xf>
    <xf numFmtId="0" fontId="5" fillId="33" borderId="13" xfId="54" applyFont="1" applyFill="1" applyBorder="1" applyAlignment="1">
      <alignment horizontal="center"/>
      <protection/>
    </xf>
    <xf numFmtId="0" fontId="5" fillId="33" borderId="13" xfId="54" applyFont="1" applyFill="1" applyBorder="1" applyAlignment="1">
      <alignment horizontal="left"/>
      <protection/>
    </xf>
    <xf numFmtId="0" fontId="12" fillId="33" borderId="0" xfId="54" applyFont="1" applyFill="1">
      <alignment/>
      <protection/>
    </xf>
    <xf numFmtId="0" fontId="5" fillId="33" borderId="13" xfId="54" applyFont="1" applyFill="1" applyBorder="1" applyAlignment="1">
      <alignment horizontal="center" vertical="top" wrapText="1"/>
      <protection/>
    </xf>
    <xf numFmtId="0" fontId="5" fillId="33" borderId="13" xfId="54" applyFont="1" applyFill="1" applyBorder="1" applyAlignment="1">
      <alignment vertical="top" wrapText="1"/>
      <protection/>
    </xf>
    <xf numFmtId="0" fontId="5" fillId="33" borderId="13" xfId="54" applyFont="1" applyFill="1" applyBorder="1" applyAlignment="1">
      <alignment horizontal="center" wrapText="1"/>
      <protection/>
    </xf>
    <xf numFmtId="0" fontId="5" fillId="33" borderId="13" xfId="54" applyFont="1" applyFill="1" applyBorder="1" applyAlignment="1">
      <alignment wrapText="1"/>
      <protection/>
    </xf>
    <xf numFmtId="1" fontId="11" fillId="33" borderId="14" xfId="54" applyNumberFormat="1" applyFont="1" applyFill="1" applyBorder="1" applyAlignment="1">
      <alignment horizontal="center" wrapText="1"/>
      <protection/>
    </xf>
    <xf numFmtId="0" fontId="8" fillId="33" borderId="0" xfId="54" applyFont="1" applyFill="1" applyAlignment="1">
      <alignment/>
      <protection/>
    </xf>
    <xf numFmtId="0" fontId="11" fillId="33" borderId="14" xfId="54" applyFont="1" applyFill="1" applyBorder="1" applyAlignment="1">
      <alignment horizontal="center" wrapText="1"/>
      <protection/>
    </xf>
    <xf numFmtId="1" fontId="11" fillId="33" borderId="15" xfId="54" applyNumberFormat="1" applyFont="1" applyFill="1" applyBorder="1" applyAlignment="1">
      <alignment horizontal="center" wrapText="1"/>
      <protection/>
    </xf>
    <xf numFmtId="0" fontId="8" fillId="33" borderId="0" xfId="54" applyFont="1" applyFill="1" applyAlignment="1">
      <alignment wrapText="1"/>
      <protection/>
    </xf>
    <xf numFmtId="3" fontId="11" fillId="33" borderId="14" xfId="54" applyNumberFormat="1" applyFont="1" applyFill="1" applyBorder="1" applyAlignment="1">
      <alignment horizontal="center"/>
      <protection/>
    </xf>
    <xf numFmtId="0" fontId="5" fillId="33" borderId="16" xfId="54" applyFont="1" applyFill="1" applyBorder="1" applyAlignment="1">
      <alignment vertical="top" wrapText="1"/>
      <protection/>
    </xf>
    <xf numFmtId="0" fontId="5" fillId="33" borderId="12" xfId="54" applyFont="1" applyFill="1" applyBorder="1" applyAlignment="1">
      <alignment horizontal="center" wrapText="1"/>
      <protection/>
    </xf>
    <xf numFmtId="0" fontId="5" fillId="33" borderId="13" xfId="54" applyFont="1" applyFill="1" applyBorder="1" applyAlignment="1">
      <alignment horizontal="left" wrapText="1"/>
      <protection/>
    </xf>
    <xf numFmtId="0" fontId="5" fillId="33" borderId="13" xfId="54" applyFont="1" applyFill="1" applyBorder="1" applyAlignment="1">
      <alignment horizontal="center" wrapText="1"/>
      <protection/>
    </xf>
    <xf numFmtId="0" fontId="5" fillId="33" borderId="13" xfId="54" applyFont="1" applyFill="1" applyBorder="1" applyAlignment="1">
      <alignment horizontal="left" wrapText="1"/>
      <protection/>
    </xf>
    <xf numFmtId="0" fontId="12" fillId="33" borderId="0" xfId="54" applyFont="1" applyFill="1" applyAlignment="1">
      <alignment wrapText="1"/>
      <protection/>
    </xf>
    <xf numFmtId="0" fontId="5" fillId="33" borderId="16" xfId="54" applyFont="1" applyFill="1" applyBorder="1" applyAlignment="1">
      <alignment wrapText="1"/>
      <protection/>
    </xf>
    <xf numFmtId="0" fontId="5" fillId="33" borderId="17" xfId="54" applyFont="1" applyFill="1" applyBorder="1" applyAlignment="1">
      <alignment horizontal="center" wrapText="1"/>
      <protection/>
    </xf>
    <xf numFmtId="0" fontId="7" fillId="33" borderId="18" xfId="54" applyFont="1" applyFill="1" applyBorder="1" applyAlignment="1">
      <alignment wrapText="1"/>
      <protection/>
    </xf>
    <xf numFmtId="3" fontId="10" fillId="33" borderId="18" xfId="54" applyNumberFormat="1" applyFont="1" applyFill="1" applyBorder="1" applyAlignment="1">
      <alignment horizontal="center" wrapText="1"/>
      <protection/>
    </xf>
    <xf numFmtId="180" fontId="8" fillId="33" borderId="13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Alignment="1">
      <alignment horizontal="center"/>
      <protection/>
    </xf>
    <xf numFmtId="180" fontId="8" fillId="33" borderId="0" xfId="54" applyNumberFormat="1" applyFont="1" applyFill="1">
      <alignment/>
      <protection/>
    </xf>
    <xf numFmtId="180" fontId="8" fillId="33" borderId="13" xfId="54" applyNumberFormat="1" applyFont="1" applyFill="1" applyBorder="1" applyAlignment="1">
      <alignment horizontal="center"/>
      <protection/>
    </xf>
    <xf numFmtId="4" fontId="8" fillId="33" borderId="0" xfId="54" applyNumberFormat="1" applyFont="1" applyFill="1" applyAlignment="1">
      <alignment horizontal="center"/>
      <protection/>
    </xf>
    <xf numFmtId="0" fontId="8" fillId="33" borderId="13" xfId="54" applyFont="1" applyFill="1" applyBorder="1" applyAlignment="1">
      <alignment horizontal="center"/>
      <protection/>
    </xf>
    <xf numFmtId="0" fontId="8" fillId="33" borderId="0" xfId="54" applyFont="1" applyFill="1" applyAlignment="1">
      <alignment horizontal="center"/>
      <protection/>
    </xf>
    <xf numFmtId="3" fontId="8" fillId="33" borderId="0" xfId="54" applyNumberFormat="1" applyFont="1" applyFill="1" applyAlignment="1">
      <alignment horizontal="center"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1" fontId="8" fillId="33" borderId="0" xfId="54" applyNumberFormat="1" applyFont="1" applyFill="1" applyAlignment="1">
      <alignment horizontal="center"/>
      <protection/>
    </xf>
    <xf numFmtId="180" fontId="8" fillId="33" borderId="14" xfId="54" applyNumberFormat="1" applyFont="1" applyFill="1" applyBorder="1" applyAlignment="1">
      <alignment horizontal="center"/>
      <protection/>
    </xf>
    <xf numFmtId="1" fontId="11" fillId="33" borderId="13" xfId="54" applyNumberFormat="1" applyFont="1" applyFill="1" applyBorder="1" applyAlignment="1">
      <alignment horizontal="center" wrapText="1"/>
      <protection/>
    </xf>
    <xf numFmtId="0" fontId="9" fillId="33" borderId="0" xfId="0" applyFont="1" applyFill="1" applyBorder="1" applyAlignment="1">
      <alignment horizontal="center"/>
    </xf>
    <xf numFmtId="0" fontId="8" fillId="33" borderId="0" xfId="54" applyFont="1" applyFill="1" applyBorder="1">
      <alignment/>
      <protection/>
    </xf>
    <xf numFmtId="1" fontId="8" fillId="33" borderId="0" xfId="54" applyNumberFormat="1" applyFont="1" applyFill="1" applyBorder="1" applyAlignment="1">
      <alignment wrapText="1"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1" fontId="11" fillId="34" borderId="14" xfId="33" applyNumberFormat="1" applyFont="1" applyFill="1" applyBorder="1" applyAlignment="1">
      <alignment horizontal="center" wrapText="1"/>
      <protection/>
    </xf>
    <xf numFmtId="3" fontId="8" fillId="33" borderId="0" xfId="54" applyNumberFormat="1" applyFont="1" applyFill="1" applyBorder="1" applyAlignment="1">
      <alignment wrapText="1"/>
      <protection/>
    </xf>
    <xf numFmtId="3" fontId="11" fillId="33" borderId="19" xfId="54" applyNumberFormat="1" applyFont="1" applyFill="1" applyBorder="1" applyAlignment="1">
      <alignment horizontal="center"/>
      <protection/>
    </xf>
    <xf numFmtId="0" fontId="0" fillId="33" borderId="0" xfId="54" applyFont="1" applyFill="1">
      <alignment/>
      <protection/>
    </xf>
    <xf numFmtId="0" fontId="9" fillId="33" borderId="0" xfId="0" applyFont="1" applyFill="1" applyBorder="1" applyAlignment="1">
      <alignment horizontal="center"/>
    </xf>
    <xf numFmtId="0" fontId="4" fillId="33" borderId="0" xfId="54" applyFont="1" applyFill="1" applyAlignment="1">
      <alignment horizontal="center"/>
      <protection/>
    </xf>
    <xf numFmtId="3" fontId="10" fillId="33" borderId="20" xfId="54" applyNumberFormat="1" applyFont="1" applyFill="1" applyBorder="1" applyAlignment="1">
      <alignment horizontal="center" wrapText="1"/>
      <protection/>
    </xf>
    <xf numFmtId="0" fontId="4" fillId="33" borderId="0" xfId="54" applyFont="1" applyFill="1" applyAlignment="1">
      <alignment horizontal="center"/>
      <protection/>
    </xf>
    <xf numFmtId="0" fontId="9" fillId="33" borderId="0" xfId="0" applyFont="1" applyFill="1" applyBorder="1" applyAlignment="1">
      <alignment horizontal="center"/>
    </xf>
    <xf numFmtId="3" fontId="10" fillId="33" borderId="13" xfId="54" applyNumberFormat="1" applyFont="1" applyFill="1" applyBorder="1" applyAlignment="1">
      <alignment horizontal="center" wrapText="1"/>
      <protection/>
    </xf>
    <xf numFmtId="180" fontId="8" fillId="35" borderId="13" xfId="54" applyNumberFormat="1" applyFont="1" applyFill="1" applyBorder="1" applyAlignment="1">
      <alignment horizontal="center" wrapText="1"/>
      <protection/>
    </xf>
    <xf numFmtId="0" fontId="51" fillId="33" borderId="12" xfId="54" applyFont="1" applyFill="1" applyBorder="1" applyAlignment="1">
      <alignment horizontal="center" wrapText="1"/>
      <protection/>
    </xf>
    <xf numFmtId="2" fontId="7" fillId="33" borderId="16" xfId="54" applyNumberFormat="1" applyFont="1" applyFill="1" applyBorder="1" applyAlignment="1">
      <alignment wrapText="1"/>
      <protection/>
    </xf>
    <xf numFmtId="176" fontId="11" fillId="33" borderId="15" xfId="54" applyNumberFormat="1" applyFont="1" applyFill="1" applyBorder="1" applyAlignment="1">
      <alignment horizontal="center" wrapText="1"/>
      <protection/>
    </xf>
    <xf numFmtId="0" fontId="11" fillId="33" borderId="0" xfId="54" applyFont="1" applyFill="1" applyBorder="1">
      <alignment/>
      <protection/>
    </xf>
    <xf numFmtId="0" fontId="11" fillId="33" borderId="0" xfId="54" applyFont="1" applyFill="1">
      <alignment/>
      <protection/>
    </xf>
    <xf numFmtId="177" fontId="11" fillId="33" borderId="21" xfId="54" applyNumberFormat="1" applyFont="1" applyFill="1" applyBorder="1" applyAlignment="1">
      <alignment horizontal="center" vertical="center" wrapText="1"/>
      <protection/>
    </xf>
    <xf numFmtId="177" fontId="11" fillId="33" borderId="13" xfId="54" applyNumberFormat="1" applyFont="1" applyFill="1" applyBorder="1" applyAlignment="1">
      <alignment horizontal="center" vertical="center" wrapText="1"/>
      <protection/>
    </xf>
    <xf numFmtId="177" fontId="13" fillId="33" borderId="21" xfId="54" applyNumberFormat="1" applyFont="1" applyFill="1" applyBorder="1" applyAlignment="1">
      <alignment horizontal="center" vertical="center" wrapText="1"/>
      <protection/>
    </xf>
    <xf numFmtId="177" fontId="13" fillId="33" borderId="13" xfId="54" applyNumberFormat="1" applyFont="1" applyFill="1" applyBorder="1" applyAlignment="1">
      <alignment horizontal="center" vertical="center" wrapText="1"/>
      <protection/>
    </xf>
    <xf numFmtId="177" fontId="13" fillId="33" borderId="15" xfId="54" applyNumberFormat="1" applyFont="1" applyFill="1" applyBorder="1" applyAlignment="1">
      <alignment horizontal="center" vertical="center" wrapText="1"/>
      <protection/>
    </xf>
    <xf numFmtId="177" fontId="13" fillId="33" borderId="12" xfId="54" applyNumberFormat="1" applyFont="1" applyFill="1" applyBorder="1" applyAlignment="1">
      <alignment horizontal="center" vertical="center" wrapText="1"/>
      <protection/>
    </xf>
    <xf numFmtId="177" fontId="13" fillId="33" borderId="22" xfId="54" applyNumberFormat="1" applyFont="1" applyFill="1" applyBorder="1" applyAlignment="1">
      <alignment horizontal="center" vertical="center" wrapText="1"/>
      <protection/>
    </xf>
    <xf numFmtId="177" fontId="13" fillId="33" borderId="16" xfId="54" applyNumberFormat="1" applyFont="1" applyFill="1" applyBorder="1" applyAlignment="1">
      <alignment horizontal="center" vertical="center" wrapText="1"/>
      <protection/>
    </xf>
    <xf numFmtId="3" fontId="10" fillId="33" borderId="23" xfId="54" applyNumberFormat="1" applyFont="1" applyFill="1" applyBorder="1" applyAlignment="1">
      <alignment horizontal="center" wrapText="1"/>
      <protection/>
    </xf>
    <xf numFmtId="3" fontId="51" fillId="33" borderId="12" xfId="54" applyNumberFormat="1" applyFont="1" applyFill="1" applyBorder="1" applyAlignment="1">
      <alignment horizontal="center" wrapText="1"/>
      <protection/>
    </xf>
    <xf numFmtId="3" fontId="51" fillId="33" borderId="24" xfId="54" applyNumberFormat="1" applyFont="1" applyFill="1" applyBorder="1" applyAlignment="1">
      <alignment horizontal="center" wrapText="1"/>
      <protection/>
    </xf>
    <xf numFmtId="3" fontId="11" fillId="33" borderId="15" xfId="54" applyNumberFormat="1" applyFont="1" applyFill="1" applyBorder="1" applyAlignment="1">
      <alignment horizontal="center" wrapText="1"/>
      <protection/>
    </xf>
    <xf numFmtId="3" fontId="11" fillId="33" borderId="14" xfId="54" applyNumberFormat="1" applyFont="1" applyFill="1" applyBorder="1" applyAlignment="1">
      <alignment horizontal="center" wrapText="1"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4" xfId="54" applyFont="1" applyFill="1" applyBorder="1" applyAlignment="1">
      <alignment horizontal="center" vertical="top" wrapText="1"/>
      <protection/>
    </xf>
    <xf numFmtId="0" fontId="5" fillId="33" borderId="14" xfId="54" applyFont="1" applyFill="1" applyBorder="1" applyAlignment="1">
      <alignment horizontal="center" wrapText="1"/>
      <protection/>
    </xf>
    <xf numFmtId="0" fontId="8" fillId="33" borderId="13" xfId="54" applyFont="1" applyFill="1" applyBorder="1" applyAlignment="1">
      <alignment/>
      <protection/>
    </xf>
    <xf numFmtId="1" fontId="5" fillId="33" borderId="12" xfId="54" applyNumberFormat="1" applyFont="1" applyFill="1" applyBorder="1" applyAlignment="1">
      <alignment horizontal="center" vertical="center" wrapText="1"/>
      <protection/>
    </xf>
    <xf numFmtId="3" fontId="5" fillId="33" borderId="13" xfId="54" applyNumberFormat="1" applyFont="1" applyFill="1" applyBorder="1" applyAlignment="1">
      <alignment horizontal="center"/>
      <protection/>
    </xf>
    <xf numFmtId="3" fontId="5" fillId="33" borderId="13" xfId="54" applyNumberFormat="1" applyFont="1" applyFill="1" applyBorder="1" applyAlignment="1">
      <alignment horizontal="center"/>
      <protection/>
    </xf>
    <xf numFmtId="3" fontId="5" fillId="33" borderId="13" xfId="54" applyNumberFormat="1" applyFont="1" applyFill="1" applyBorder="1" applyAlignment="1">
      <alignment horizontal="center" vertical="top" wrapText="1"/>
      <protection/>
    </xf>
    <xf numFmtId="3" fontId="5" fillId="33" borderId="13" xfId="54" applyNumberFormat="1" applyFont="1" applyFill="1" applyBorder="1" applyAlignment="1">
      <alignment horizontal="center" wrapText="1"/>
      <protection/>
    </xf>
    <xf numFmtId="0" fontId="8" fillId="33" borderId="13" xfId="54" applyFont="1" applyFill="1" applyBorder="1" applyAlignment="1">
      <alignment wrapText="1"/>
      <protection/>
    </xf>
    <xf numFmtId="0" fontId="8" fillId="33" borderId="14" xfId="54" applyFont="1" applyFill="1" applyBorder="1" applyAlignment="1">
      <alignment horizontal="center"/>
      <protection/>
    </xf>
    <xf numFmtId="180" fontId="11" fillId="33" borderId="12" xfId="0" applyNumberFormat="1" applyFont="1" applyFill="1" applyBorder="1" applyAlignment="1">
      <alignment vertical="center" wrapText="1"/>
    </xf>
    <xf numFmtId="2" fontId="7" fillId="33" borderId="13" xfId="54" applyNumberFormat="1" applyFont="1" applyFill="1" applyBorder="1" applyAlignment="1">
      <alignment horizontal="center" wrapText="1"/>
      <protection/>
    </xf>
    <xf numFmtId="3" fontId="5" fillId="33" borderId="14" xfId="54" applyNumberFormat="1" applyFont="1" applyFill="1" applyBorder="1" applyAlignment="1">
      <alignment horizontal="center"/>
      <protection/>
    </xf>
    <xf numFmtId="3" fontId="5" fillId="33" borderId="14" xfId="54" applyNumberFormat="1" applyFont="1" applyFill="1" applyBorder="1" applyAlignment="1">
      <alignment horizontal="center"/>
      <protection/>
    </xf>
    <xf numFmtId="3" fontId="5" fillId="33" borderId="14" xfId="54" applyNumberFormat="1" applyFont="1" applyFill="1" applyBorder="1" applyAlignment="1">
      <alignment horizontal="center" vertical="top" wrapText="1"/>
      <protection/>
    </xf>
    <xf numFmtId="3" fontId="5" fillId="33" borderId="14" xfId="54" applyNumberFormat="1" applyFont="1" applyFill="1" applyBorder="1" applyAlignment="1">
      <alignment horizontal="center" wrapText="1"/>
      <protection/>
    </xf>
    <xf numFmtId="3" fontId="5" fillId="33" borderId="19" xfId="54" applyNumberFormat="1" applyFont="1" applyFill="1" applyBorder="1" applyAlignment="1">
      <alignment horizontal="center" vertical="top" wrapText="1"/>
      <protection/>
    </xf>
    <xf numFmtId="3" fontId="10" fillId="33" borderId="25" xfId="54" applyNumberFormat="1" applyFont="1" applyFill="1" applyBorder="1" applyAlignment="1">
      <alignment horizontal="center" wrapText="1"/>
      <protection/>
    </xf>
    <xf numFmtId="177" fontId="5" fillId="33" borderId="0" xfId="54" applyNumberFormat="1" applyFont="1" applyFill="1" applyBorder="1" applyAlignment="1">
      <alignment vertical="center" wrapText="1"/>
      <protection/>
    </xf>
    <xf numFmtId="180" fontId="11" fillId="33" borderId="0" xfId="0" applyNumberFormat="1" applyFont="1" applyFill="1" applyBorder="1" applyAlignment="1">
      <alignment vertical="center" wrapText="1"/>
    </xf>
    <xf numFmtId="0" fontId="5" fillId="33" borderId="16" xfId="54" applyFont="1" applyFill="1" applyBorder="1" applyAlignment="1">
      <alignment horizontal="center" vertical="top" wrapText="1"/>
      <protection/>
    </xf>
    <xf numFmtId="1" fontId="5" fillId="33" borderId="14" xfId="54" applyNumberFormat="1" applyFont="1" applyFill="1" applyBorder="1" applyAlignment="1">
      <alignment horizontal="center"/>
      <protection/>
    </xf>
    <xf numFmtId="0" fontId="7" fillId="33" borderId="24" xfId="54" applyFont="1" applyFill="1" applyBorder="1" applyAlignment="1">
      <alignment horizontal="center" wrapText="1"/>
      <protection/>
    </xf>
    <xf numFmtId="177" fontId="8" fillId="35" borderId="13" xfId="54" applyNumberFormat="1" applyFont="1" applyFill="1" applyBorder="1" applyAlignment="1">
      <alignment horizontal="center" wrapText="1"/>
      <protection/>
    </xf>
    <xf numFmtId="0" fontId="4" fillId="33" borderId="0" xfId="54" applyFont="1" applyFill="1" applyAlignment="1">
      <alignment horizontal="center"/>
      <protection/>
    </xf>
    <xf numFmtId="177" fontId="11" fillId="33" borderId="26" xfId="54" applyNumberFormat="1" applyFont="1" applyFill="1" applyBorder="1" applyAlignment="1">
      <alignment horizontal="center" vertical="center" wrapText="1"/>
      <protection/>
    </xf>
    <xf numFmtId="0" fontId="11" fillId="33" borderId="13" xfId="54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0" fontId="11" fillId="33" borderId="12" xfId="54" applyFont="1" applyFill="1" applyBorder="1" applyAlignment="1">
      <alignment horizontal="center" vertical="center" wrapText="1"/>
      <protection/>
    </xf>
    <xf numFmtId="177" fontId="11" fillId="33" borderId="21" xfId="54" applyNumberFormat="1" applyFont="1" applyFill="1" applyBorder="1" applyAlignment="1">
      <alignment horizontal="center" vertical="center" wrapText="1"/>
      <protection/>
    </xf>
    <xf numFmtId="0" fontId="11" fillId="33" borderId="12" xfId="54" applyFont="1" applyFill="1" applyBorder="1" applyAlignment="1">
      <alignment horizontal="center" vertical="center"/>
      <protection/>
    </xf>
    <xf numFmtId="177" fontId="11" fillId="33" borderId="13" xfId="54" applyNumberFormat="1" applyFont="1" applyFill="1" applyBorder="1" applyAlignment="1">
      <alignment horizontal="center" vertical="center" wrapText="1"/>
      <protection/>
    </xf>
    <xf numFmtId="177" fontId="13" fillId="33" borderId="14" xfId="54" applyNumberFormat="1" applyFont="1" applyFill="1" applyBorder="1" applyAlignment="1">
      <alignment horizontal="center" vertical="center" wrapText="1"/>
      <protection/>
    </xf>
    <xf numFmtId="0" fontId="13" fillId="33" borderId="14" xfId="54" applyFont="1" applyFill="1" applyBorder="1" applyAlignment="1">
      <alignment horizontal="center" vertical="center" wrapText="1"/>
      <protection/>
    </xf>
    <xf numFmtId="1" fontId="11" fillId="33" borderId="12" xfId="54" applyNumberFormat="1" applyFont="1" applyFill="1" applyBorder="1" applyAlignment="1">
      <alignment horizontal="center" wrapText="1"/>
      <protection/>
    </xf>
    <xf numFmtId="1" fontId="11" fillId="34" borderId="13" xfId="33" applyNumberFormat="1" applyFont="1" applyFill="1" applyBorder="1" applyAlignment="1">
      <alignment horizontal="center" wrapText="1"/>
      <protection/>
    </xf>
    <xf numFmtId="177" fontId="11" fillId="33" borderId="13" xfId="54" applyNumberFormat="1" applyFont="1" applyFill="1" applyBorder="1" applyAlignment="1">
      <alignment horizontal="center" wrapText="1"/>
      <protection/>
    </xf>
    <xf numFmtId="3" fontId="11" fillId="33" borderId="13" xfId="54" applyNumberFormat="1" applyFont="1" applyFill="1" applyBorder="1" applyAlignment="1">
      <alignment horizontal="center" wrapText="1"/>
      <protection/>
    </xf>
    <xf numFmtId="3" fontId="11" fillId="33" borderId="16" xfId="54" applyNumberFormat="1" applyFont="1" applyFill="1" applyBorder="1" applyAlignment="1">
      <alignment horizontal="center" wrapText="1"/>
      <protection/>
    </xf>
    <xf numFmtId="0" fontId="5" fillId="33" borderId="16" xfId="54" applyFont="1" applyFill="1" applyBorder="1" applyAlignment="1">
      <alignment horizontal="center" wrapText="1"/>
      <protection/>
    </xf>
    <xf numFmtId="0" fontId="51" fillId="33" borderId="24" xfId="54" applyFont="1" applyFill="1" applyBorder="1" applyAlignment="1">
      <alignment horizontal="center" wrapText="1"/>
      <protection/>
    </xf>
    <xf numFmtId="1" fontId="11" fillId="33" borderId="16" xfId="54" applyNumberFormat="1" applyFont="1" applyFill="1" applyBorder="1" applyAlignment="1">
      <alignment horizontal="center" wrapText="1"/>
      <protection/>
    </xf>
    <xf numFmtId="3" fontId="11" fillId="33" borderId="20" xfId="54" applyNumberFormat="1" applyFont="1" applyFill="1" applyBorder="1" applyAlignment="1">
      <alignment horizontal="center" wrapText="1"/>
      <protection/>
    </xf>
    <xf numFmtId="176" fontId="11" fillId="33" borderId="20" xfId="54" applyNumberFormat="1" applyFont="1" applyFill="1" applyBorder="1" applyAlignment="1">
      <alignment horizontal="center" wrapText="1"/>
      <protection/>
    </xf>
    <xf numFmtId="2" fontId="7" fillId="33" borderId="27" xfId="54" applyNumberFormat="1" applyFont="1" applyFill="1" applyBorder="1" applyAlignment="1">
      <alignment vertical="top" wrapText="1"/>
      <protection/>
    </xf>
    <xf numFmtId="2" fontId="7" fillId="33" borderId="13" xfId="54" applyNumberFormat="1" applyFont="1" applyFill="1" applyBorder="1" applyAlignment="1">
      <alignment wrapText="1"/>
      <protection/>
    </xf>
    <xf numFmtId="0" fontId="7" fillId="33" borderId="13" xfId="54" applyFont="1" applyFill="1" applyBorder="1" applyAlignment="1">
      <alignment wrapText="1"/>
      <protection/>
    </xf>
    <xf numFmtId="3" fontId="7" fillId="33" borderId="13" xfId="54" applyNumberFormat="1" applyFont="1" applyFill="1" applyBorder="1" applyAlignment="1">
      <alignment wrapText="1"/>
      <protection/>
    </xf>
    <xf numFmtId="1" fontId="11" fillId="34" borderId="15" xfId="33" applyNumberFormat="1" applyFont="1" applyFill="1" applyBorder="1" applyAlignment="1">
      <alignment horizontal="center" wrapText="1"/>
      <protection/>
    </xf>
    <xf numFmtId="1" fontId="11" fillId="33" borderId="13" xfId="60" applyNumberFormat="1" applyFont="1" applyFill="1" applyBorder="1" applyAlignment="1">
      <alignment horizontal="center" wrapText="1"/>
    </xf>
    <xf numFmtId="1" fontId="11" fillId="33" borderId="14" xfId="60" applyNumberFormat="1" applyFont="1" applyFill="1" applyBorder="1" applyAlignment="1">
      <alignment horizontal="center" wrapText="1"/>
    </xf>
    <xf numFmtId="0" fontId="11" fillId="33" borderId="15" xfId="54" applyFont="1" applyFill="1" applyBorder="1" applyAlignment="1">
      <alignment horizontal="center"/>
      <protection/>
    </xf>
    <xf numFmtId="0" fontId="11" fillId="33" borderId="12" xfId="54" applyFont="1" applyFill="1" applyBorder="1" applyAlignment="1">
      <alignment horizontal="center"/>
      <protection/>
    </xf>
    <xf numFmtId="1" fontId="11" fillId="33" borderId="15" xfId="54" applyNumberFormat="1" applyFont="1" applyFill="1" applyBorder="1" applyAlignment="1">
      <alignment horizontal="center"/>
      <protection/>
    </xf>
    <xf numFmtId="0" fontId="11" fillId="33" borderId="13" xfId="54" applyFont="1" applyFill="1" applyBorder="1" applyAlignment="1">
      <alignment horizontal="center"/>
      <protection/>
    </xf>
    <xf numFmtId="3" fontId="8" fillId="33" borderId="13" xfId="54" applyNumberFormat="1" applyFont="1" applyFill="1" applyBorder="1" applyAlignment="1">
      <alignment horizontal="center"/>
      <protection/>
    </xf>
    <xf numFmtId="182" fontId="8" fillId="33" borderId="13" xfId="54" applyNumberFormat="1" applyFont="1" applyFill="1" applyBorder="1" applyAlignment="1">
      <alignment horizontal="center"/>
      <protection/>
    </xf>
    <xf numFmtId="0" fontId="11" fillId="34" borderId="14" xfId="33" applyFont="1" applyFill="1" applyBorder="1" applyAlignment="1">
      <alignment horizontal="center"/>
      <protection/>
    </xf>
    <xf numFmtId="0" fontId="11" fillId="34" borderId="13" xfId="33" applyFont="1" applyFill="1" applyBorder="1" applyAlignment="1">
      <alignment horizontal="center"/>
      <protection/>
    </xf>
    <xf numFmtId="1" fontId="11" fillId="34" borderId="15" xfId="33" applyNumberFormat="1" applyFont="1" applyFill="1" applyBorder="1" applyAlignment="1">
      <alignment horizontal="center"/>
      <protection/>
    </xf>
    <xf numFmtId="0" fontId="11" fillId="33" borderId="13" xfId="54" applyFont="1" applyFill="1" applyBorder="1" applyAlignment="1">
      <alignment horizontal="center" wrapText="1"/>
      <protection/>
    </xf>
    <xf numFmtId="3" fontId="11" fillId="33" borderId="14" xfId="63" applyNumberFormat="1" applyFont="1" applyFill="1" applyBorder="1" applyAlignment="1">
      <alignment horizontal="center"/>
    </xf>
    <xf numFmtId="1" fontId="11" fillId="33" borderId="14" xfId="54" applyNumberFormat="1" applyFont="1" applyFill="1" applyBorder="1" applyAlignment="1">
      <alignment horizontal="center" vertical="top" wrapText="1"/>
      <protection/>
    </xf>
    <xf numFmtId="3" fontId="11" fillId="33" borderId="13" xfId="54" applyNumberFormat="1" applyFont="1" applyFill="1" applyBorder="1" applyAlignment="1">
      <alignment horizontal="center"/>
      <protection/>
    </xf>
    <xf numFmtId="3" fontId="11" fillId="33" borderId="15" xfId="54" applyNumberFormat="1" applyFont="1" applyFill="1" applyBorder="1" applyAlignment="1">
      <alignment horizontal="center"/>
      <protection/>
    </xf>
    <xf numFmtId="0" fontId="10" fillId="33" borderId="13" xfId="54" applyFont="1" applyFill="1" applyBorder="1" applyAlignment="1">
      <alignment horizontal="center"/>
      <protection/>
    </xf>
    <xf numFmtId="3" fontId="11" fillId="33" borderId="16" xfId="54" applyNumberFormat="1" applyFont="1" applyFill="1" applyBorder="1" applyAlignment="1">
      <alignment horizontal="center"/>
      <protection/>
    </xf>
    <xf numFmtId="1" fontId="8" fillId="33" borderId="13" xfId="54" applyNumberFormat="1" applyFont="1" applyFill="1" applyBorder="1" applyAlignment="1">
      <alignment horizontal="center"/>
      <protection/>
    </xf>
    <xf numFmtId="176" fontId="8" fillId="33" borderId="13" xfId="54" applyNumberFormat="1" applyFont="1" applyFill="1" applyBorder="1" applyAlignment="1">
      <alignment horizontal="center"/>
      <protection/>
    </xf>
    <xf numFmtId="180" fontId="52" fillId="33" borderId="13" xfId="54" applyNumberFormat="1" applyFont="1" applyFill="1" applyBorder="1" applyAlignment="1">
      <alignment horizontal="center"/>
      <protection/>
    </xf>
    <xf numFmtId="0" fontId="5" fillId="33" borderId="16" xfId="54" applyFont="1" applyFill="1" applyBorder="1" applyAlignment="1">
      <alignment horizontal="center"/>
      <protection/>
    </xf>
    <xf numFmtId="1" fontId="8" fillId="33" borderId="16" xfId="54" applyNumberFormat="1" applyFont="1" applyFill="1" applyBorder="1" applyAlignment="1">
      <alignment horizontal="center"/>
      <protection/>
    </xf>
    <xf numFmtId="176" fontId="8" fillId="33" borderId="16" xfId="54" applyNumberFormat="1" applyFont="1" applyFill="1" applyBorder="1" applyAlignment="1">
      <alignment horizontal="center"/>
      <protection/>
    </xf>
    <xf numFmtId="180" fontId="10" fillId="33" borderId="13" xfId="54" applyNumberFormat="1" applyFont="1" applyFill="1" applyBorder="1" applyAlignment="1">
      <alignment horizontal="center" wrapText="1"/>
      <protection/>
    </xf>
    <xf numFmtId="0" fontId="8" fillId="0" borderId="0" xfId="54" applyFont="1" applyFill="1">
      <alignment/>
      <protection/>
    </xf>
    <xf numFmtId="0" fontId="8" fillId="0" borderId="0" xfId="54" applyFont="1" applyFill="1" applyBorder="1">
      <alignment/>
      <protection/>
    </xf>
    <xf numFmtId="0" fontId="7" fillId="0" borderId="0" xfId="54" applyFont="1" applyFill="1" applyAlignment="1">
      <alignment horizontal="center"/>
      <protection/>
    </xf>
    <xf numFmtId="0" fontId="11" fillId="0" borderId="0" xfId="54" applyFont="1" applyFill="1" applyBorder="1" applyAlignment="1">
      <alignment vertical="center" wrapText="1"/>
      <protection/>
    </xf>
    <xf numFmtId="0" fontId="11" fillId="0" borderId="0" xfId="54" applyFont="1" applyFill="1">
      <alignment/>
      <protection/>
    </xf>
    <xf numFmtId="0" fontId="5" fillId="0" borderId="12" xfId="54" applyFont="1" applyFill="1" applyBorder="1" applyAlignment="1">
      <alignment horizontal="center"/>
      <protection/>
    </xf>
    <xf numFmtId="0" fontId="5" fillId="0" borderId="13" xfId="54" applyFont="1" applyFill="1" applyBorder="1" applyAlignment="1">
      <alignment horizontal="left"/>
      <protection/>
    </xf>
    <xf numFmtId="180" fontId="8" fillId="0" borderId="14" xfId="54" applyNumberFormat="1" applyFont="1" applyFill="1" applyBorder="1" applyAlignment="1">
      <alignment horizontal="center"/>
      <protection/>
    </xf>
    <xf numFmtId="180" fontId="8" fillId="0" borderId="13" xfId="54" applyNumberFormat="1" applyFont="1" applyFill="1" applyBorder="1" applyAlignment="1">
      <alignment horizontal="center"/>
      <protection/>
    </xf>
    <xf numFmtId="0" fontId="5" fillId="0" borderId="13" xfId="54" applyFont="1" applyFill="1" applyBorder="1" applyAlignment="1">
      <alignment horizontal="center"/>
      <protection/>
    </xf>
    <xf numFmtId="0" fontId="5" fillId="0" borderId="13" xfId="54" applyFont="1" applyFill="1" applyBorder="1" applyAlignment="1">
      <alignment horizontal="center"/>
      <protection/>
    </xf>
    <xf numFmtId="0" fontId="5" fillId="0" borderId="13" xfId="54" applyFont="1" applyFill="1" applyBorder="1" applyAlignment="1">
      <alignment horizontal="left"/>
      <protection/>
    </xf>
    <xf numFmtId="0" fontId="12" fillId="0" borderId="0" xfId="54" applyFont="1" applyFill="1">
      <alignment/>
      <protection/>
    </xf>
    <xf numFmtId="0" fontId="5" fillId="0" borderId="13" xfId="54" applyFont="1" applyFill="1" applyBorder="1" applyAlignment="1">
      <alignment vertical="top" wrapText="1"/>
      <protection/>
    </xf>
    <xf numFmtId="0" fontId="5" fillId="0" borderId="13" xfId="54" applyFont="1" applyFill="1" applyBorder="1" applyAlignment="1">
      <alignment wrapText="1"/>
      <protection/>
    </xf>
    <xf numFmtId="0" fontId="8" fillId="0" borderId="0" xfId="54" applyFont="1" applyFill="1" applyAlignment="1">
      <alignment/>
      <protection/>
    </xf>
    <xf numFmtId="0" fontId="8" fillId="0" borderId="0" xfId="54" applyFont="1" applyFill="1" applyAlignment="1">
      <alignment wrapText="1"/>
      <protection/>
    </xf>
    <xf numFmtId="0" fontId="5" fillId="0" borderId="16" xfId="54" applyFont="1" applyFill="1" applyBorder="1" applyAlignment="1">
      <alignment vertical="top" wrapText="1"/>
      <protection/>
    </xf>
    <xf numFmtId="0" fontId="5" fillId="0" borderId="17" xfId="54" applyFont="1" applyFill="1" applyBorder="1" applyAlignment="1">
      <alignment horizontal="center" vertical="top" wrapText="1"/>
      <protection/>
    </xf>
    <xf numFmtId="2" fontId="7" fillId="0" borderId="10" xfId="54" applyNumberFormat="1" applyFont="1" applyFill="1" applyBorder="1" applyAlignment="1">
      <alignment vertical="top" wrapText="1"/>
      <protection/>
    </xf>
    <xf numFmtId="0" fontId="5" fillId="0" borderId="0" xfId="54" applyFont="1" applyFill="1" applyBorder="1" applyAlignment="1">
      <alignment horizontal="center"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0" fontId="5" fillId="0" borderId="0" xfId="54" applyFont="1" applyFill="1" applyBorder="1" applyAlignment="1">
      <alignment horizontal="left"/>
      <protection/>
    </xf>
    <xf numFmtId="0" fontId="7" fillId="0" borderId="0" xfId="54" applyFont="1" applyFill="1" applyBorder="1" applyAlignment="1">
      <alignment vertical="top" wrapText="1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54" applyFill="1">
      <alignment/>
      <protection/>
    </xf>
    <xf numFmtId="0" fontId="2" fillId="0" borderId="0" xfId="54" applyFill="1" applyBorder="1">
      <alignment/>
      <protection/>
    </xf>
    <xf numFmtId="0" fontId="6" fillId="0" borderId="0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0" fontId="6" fillId="0" borderId="0" xfId="54" applyFont="1" applyFill="1">
      <alignment/>
      <protection/>
    </xf>
    <xf numFmtId="2" fontId="7" fillId="0" borderId="0" xfId="54" applyNumberFormat="1" applyFont="1" applyFill="1" applyBorder="1" applyAlignment="1">
      <alignment vertical="top" wrapText="1"/>
      <protection/>
    </xf>
    <xf numFmtId="2" fontId="7" fillId="0" borderId="13" xfId="54" applyNumberFormat="1" applyFont="1" applyFill="1" applyBorder="1" applyAlignment="1">
      <alignment wrapText="1"/>
      <protection/>
    </xf>
    <xf numFmtId="0" fontId="4" fillId="33" borderId="0" xfId="54" applyFont="1" applyFill="1" applyAlignment="1">
      <alignment horizontal="center"/>
      <protection/>
    </xf>
    <xf numFmtId="0" fontId="9" fillId="33" borderId="0" xfId="0" applyFont="1" applyFill="1" applyBorder="1" applyAlignment="1">
      <alignment horizontal="center"/>
    </xf>
    <xf numFmtId="0" fontId="14" fillId="33" borderId="0" xfId="54" applyFont="1" applyFill="1" applyAlignment="1">
      <alignment horizontal="right"/>
      <protection/>
    </xf>
    <xf numFmtId="0" fontId="8" fillId="33" borderId="0" xfId="54" applyFont="1" applyFill="1" applyAlignment="1">
      <alignment horizontal="right"/>
      <protection/>
    </xf>
    <xf numFmtId="0" fontId="9" fillId="0" borderId="0" xfId="0" applyFont="1" applyFill="1" applyBorder="1" applyAlignment="1">
      <alignment horizontal="center"/>
    </xf>
    <xf numFmtId="0" fontId="4" fillId="0" borderId="0" xfId="54" applyFont="1" applyFill="1" applyAlignment="1">
      <alignment horizontal="center"/>
      <protection/>
    </xf>
    <xf numFmtId="176" fontId="8" fillId="33" borderId="0" xfId="54" applyNumberFormat="1" applyFont="1" applyFill="1" applyBorder="1" applyAlignment="1">
      <alignment wrapText="1"/>
      <protection/>
    </xf>
    <xf numFmtId="182" fontId="8" fillId="35" borderId="13" xfId="54" applyNumberFormat="1" applyFont="1" applyFill="1" applyBorder="1" applyAlignment="1">
      <alignment horizontal="center" wrapText="1"/>
      <protection/>
    </xf>
    <xf numFmtId="0" fontId="11" fillId="0" borderId="13" xfId="54" applyFont="1" applyFill="1" applyBorder="1">
      <alignment/>
      <protection/>
    </xf>
    <xf numFmtId="180" fontId="12" fillId="0" borderId="13" xfId="54" applyNumberFormat="1" applyFont="1" applyFill="1" applyBorder="1" applyAlignment="1">
      <alignment horizontal="center"/>
      <protection/>
    </xf>
    <xf numFmtId="180" fontId="8" fillId="0" borderId="13" xfId="54" applyNumberFormat="1" applyFont="1" applyFill="1" applyBorder="1">
      <alignment/>
      <protection/>
    </xf>
    <xf numFmtId="177" fontId="8" fillId="0" borderId="13" xfId="54" applyNumberFormat="1" applyFont="1" applyFill="1" applyBorder="1">
      <alignment/>
      <protection/>
    </xf>
    <xf numFmtId="182" fontId="11" fillId="33" borderId="15" xfId="54" applyNumberFormat="1" applyFont="1" applyFill="1" applyBorder="1" applyAlignment="1">
      <alignment horizontal="center" wrapText="1"/>
      <protection/>
    </xf>
    <xf numFmtId="182" fontId="8" fillId="0" borderId="13" xfId="54" applyNumberFormat="1" applyFont="1" applyFill="1" applyBorder="1" applyAlignment="1">
      <alignment horizontal="center"/>
      <protection/>
    </xf>
    <xf numFmtId="180" fontId="8" fillId="0" borderId="13" xfId="54" applyNumberFormat="1" applyFont="1" applyFill="1" applyBorder="1" applyAlignment="1">
      <alignment horizontal="center" wrapText="1"/>
      <protection/>
    </xf>
    <xf numFmtId="0" fontId="14" fillId="33" borderId="0" xfId="54" applyFont="1" applyFill="1" applyAlignment="1">
      <alignment/>
      <protection/>
    </xf>
    <xf numFmtId="0" fontId="11" fillId="0" borderId="16" xfId="54" applyFont="1" applyFill="1" applyBorder="1" applyAlignment="1">
      <alignment horizontal="center" vertical="center" wrapText="1"/>
      <protection/>
    </xf>
    <xf numFmtId="0" fontId="11" fillId="0" borderId="12" xfId="54" applyFont="1" applyFill="1" applyBorder="1" applyAlignment="1">
      <alignment horizontal="center" vertical="center" wrapText="1"/>
      <protection/>
    </xf>
    <xf numFmtId="180" fontId="5" fillId="0" borderId="14" xfId="54" applyNumberFormat="1" applyFont="1" applyFill="1" applyBorder="1" applyAlignment="1">
      <alignment horizontal="center"/>
      <protection/>
    </xf>
    <xf numFmtId="180" fontId="7" fillId="0" borderId="13" xfId="54" applyNumberFormat="1" applyFont="1" applyFill="1" applyBorder="1" applyAlignment="1">
      <alignment horizontal="center" wrapText="1"/>
      <protection/>
    </xf>
    <xf numFmtId="182" fontId="8" fillId="0" borderId="13" xfId="54" applyNumberFormat="1" applyFont="1" applyFill="1" applyBorder="1">
      <alignment/>
      <protection/>
    </xf>
    <xf numFmtId="182" fontId="8" fillId="33" borderId="0" xfId="54" applyNumberFormat="1" applyFont="1" applyFill="1" applyBorder="1" applyAlignment="1">
      <alignment wrapText="1"/>
      <protection/>
    </xf>
    <xf numFmtId="182" fontId="8" fillId="33" borderId="0" xfId="54" applyNumberFormat="1" applyFont="1" applyFill="1">
      <alignment/>
      <protection/>
    </xf>
    <xf numFmtId="176" fontId="8" fillId="35" borderId="13" xfId="54" applyNumberFormat="1" applyFont="1" applyFill="1" applyBorder="1" applyAlignment="1">
      <alignment horizontal="center" wrapText="1"/>
      <protection/>
    </xf>
    <xf numFmtId="182" fontId="8" fillId="33" borderId="14" xfId="54" applyNumberFormat="1" applyFont="1" applyFill="1" applyBorder="1" applyAlignment="1">
      <alignment horizontal="center"/>
      <protection/>
    </xf>
    <xf numFmtId="182" fontId="11" fillId="33" borderId="20" xfId="54" applyNumberFormat="1" applyFont="1" applyFill="1" applyBorder="1" applyAlignment="1">
      <alignment horizontal="center" wrapText="1"/>
      <protection/>
    </xf>
    <xf numFmtId="182" fontId="8" fillId="33" borderId="16" xfId="54" applyNumberFormat="1" applyFont="1" applyFill="1" applyBorder="1" applyAlignment="1">
      <alignment horizontal="center"/>
      <protection/>
    </xf>
    <xf numFmtId="180" fontId="8" fillId="0" borderId="0" xfId="54" applyNumberFormat="1" applyFont="1" applyFill="1">
      <alignment/>
      <protection/>
    </xf>
    <xf numFmtId="180" fontId="8" fillId="0" borderId="0" xfId="54" applyNumberFormat="1" applyFont="1" applyFill="1" applyBorder="1">
      <alignment/>
      <protection/>
    </xf>
    <xf numFmtId="0" fontId="11" fillId="33" borderId="0" xfId="54" applyFont="1" applyFill="1" applyAlignment="1">
      <alignment horizontal="right"/>
      <protection/>
    </xf>
    <xf numFmtId="0" fontId="11" fillId="33" borderId="0" xfId="54" applyFont="1" applyFill="1" applyBorder="1" applyAlignment="1">
      <alignment horizontal="center" vertical="center" wrapText="1"/>
      <protection/>
    </xf>
    <xf numFmtId="0" fontId="11" fillId="33" borderId="13" xfId="54" applyFont="1" applyFill="1" applyBorder="1" applyAlignment="1">
      <alignment horizontal="center" vertical="center" wrapText="1"/>
      <protection/>
    </xf>
    <xf numFmtId="0" fontId="11" fillId="33" borderId="16" xfId="54" applyFont="1" applyFill="1" applyBorder="1" applyAlignment="1">
      <alignment horizontal="center" vertical="center" wrapText="1"/>
      <protection/>
    </xf>
    <xf numFmtId="0" fontId="11" fillId="33" borderId="24" xfId="54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0" fontId="11" fillId="33" borderId="12" xfId="54" applyFont="1" applyFill="1" applyBorder="1" applyAlignment="1">
      <alignment horizontal="center" vertical="center" wrapText="1"/>
      <protection/>
    </xf>
    <xf numFmtId="177" fontId="11" fillId="33" borderId="22" xfId="54" applyNumberFormat="1" applyFont="1" applyFill="1" applyBorder="1" applyAlignment="1">
      <alignment horizontal="center" vertical="center" wrapText="1"/>
      <protection/>
    </xf>
    <xf numFmtId="177" fontId="11" fillId="33" borderId="21" xfId="54" applyNumberFormat="1" applyFont="1" applyFill="1" applyBorder="1" applyAlignment="1">
      <alignment horizontal="center" vertical="center" wrapText="1"/>
      <protection/>
    </xf>
    <xf numFmtId="180" fontId="11" fillId="33" borderId="13" xfId="0" applyNumberFormat="1" applyFont="1" applyFill="1" applyBorder="1" applyAlignment="1">
      <alignment horizontal="center" vertical="center" wrapText="1"/>
    </xf>
    <xf numFmtId="0" fontId="11" fillId="33" borderId="16" xfId="54" applyFont="1" applyFill="1" applyBorder="1" applyAlignment="1">
      <alignment horizontal="center" vertical="center"/>
      <protection/>
    </xf>
    <xf numFmtId="0" fontId="11" fillId="33" borderId="24" xfId="54" applyFont="1" applyFill="1" applyBorder="1" applyAlignment="1">
      <alignment horizontal="center" vertical="center"/>
      <protection/>
    </xf>
    <xf numFmtId="0" fontId="11" fillId="33" borderId="12" xfId="54" applyFont="1" applyFill="1" applyBorder="1" applyAlignment="1">
      <alignment horizontal="center" vertical="center"/>
      <protection/>
    </xf>
    <xf numFmtId="180" fontId="11" fillId="33" borderId="19" xfId="0" applyNumberFormat="1" applyFont="1" applyFill="1" applyBorder="1" applyAlignment="1">
      <alignment horizontal="center" vertical="center" wrapText="1"/>
    </xf>
    <xf numFmtId="180" fontId="11" fillId="33" borderId="28" xfId="0" applyNumberFormat="1" applyFont="1" applyFill="1" applyBorder="1" applyAlignment="1">
      <alignment horizontal="center" vertical="center" wrapText="1"/>
    </xf>
    <xf numFmtId="180" fontId="11" fillId="33" borderId="29" xfId="0" applyNumberFormat="1" applyFont="1" applyFill="1" applyBorder="1" applyAlignment="1">
      <alignment horizontal="center" vertical="center" wrapText="1"/>
    </xf>
    <xf numFmtId="180" fontId="11" fillId="33" borderId="15" xfId="0" applyNumberFormat="1" applyFont="1" applyFill="1" applyBorder="1" applyAlignment="1">
      <alignment horizontal="center" vertical="center" wrapText="1"/>
    </xf>
    <xf numFmtId="180" fontId="11" fillId="33" borderId="22" xfId="0" applyNumberFormat="1" applyFont="1" applyFill="1" applyBorder="1" applyAlignment="1">
      <alignment horizontal="center" vertical="center" wrapText="1"/>
    </xf>
    <xf numFmtId="180" fontId="11" fillId="33" borderId="21" xfId="0" applyNumberFormat="1" applyFont="1" applyFill="1" applyBorder="1" applyAlignment="1">
      <alignment horizontal="center" vertical="center" wrapText="1"/>
    </xf>
    <xf numFmtId="177" fontId="11" fillId="33" borderId="13" xfId="54" applyNumberFormat="1" applyFont="1" applyFill="1" applyBorder="1" applyAlignment="1">
      <alignment horizontal="center" vertical="center" wrapText="1"/>
      <protection/>
    </xf>
    <xf numFmtId="177" fontId="5" fillId="33" borderId="16" xfId="54" applyNumberFormat="1" applyFont="1" applyFill="1" applyBorder="1" applyAlignment="1">
      <alignment horizontal="center" vertical="center" wrapText="1"/>
      <protection/>
    </xf>
    <xf numFmtId="177" fontId="5" fillId="33" borderId="24" xfId="54" applyNumberFormat="1" applyFont="1" applyFill="1" applyBorder="1" applyAlignment="1">
      <alignment horizontal="center" vertical="center" wrapText="1"/>
      <protection/>
    </xf>
    <xf numFmtId="177" fontId="5" fillId="33" borderId="12" xfId="54" applyNumberFormat="1" applyFont="1" applyFill="1" applyBorder="1" applyAlignment="1">
      <alignment horizontal="center" vertical="center" wrapText="1"/>
      <protection/>
    </xf>
    <xf numFmtId="0" fontId="4" fillId="33" borderId="0" xfId="54" applyFont="1" applyFill="1" applyAlignment="1">
      <alignment horizontal="center"/>
      <protection/>
    </xf>
    <xf numFmtId="177" fontId="11" fillId="33" borderId="14" xfId="54" applyNumberFormat="1" applyFont="1" applyFill="1" applyBorder="1" applyAlignment="1">
      <alignment horizontal="center" vertical="center" wrapText="1"/>
      <protection/>
    </xf>
    <xf numFmtId="177" fontId="11" fillId="33" borderId="30" xfId="54" applyNumberFormat="1" applyFont="1" applyFill="1" applyBorder="1" applyAlignment="1">
      <alignment horizontal="center" vertical="center" wrapText="1"/>
      <protection/>
    </xf>
    <xf numFmtId="177" fontId="11" fillId="33" borderId="26" xfId="54" applyNumberFormat="1" applyFont="1" applyFill="1" applyBorder="1" applyAlignment="1">
      <alignment horizontal="center" vertical="center" wrapText="1"/>
      <protection/>
    </xf>
    <xf numFmtId="180" fontId="11" fillId="33" borderId="16" xfId="0" applyNumberFormat="1" applyFont="1" applyFill="1" applyBorder="1" applyAlignment="1">
      <alignment horizontal="center" vertical="center" wrapText="1"/>
    </xf>
    <xf numFmtId="180" fontId="11" fillId="33" borderId="24" xfId="0" applyNumberFormat="1" applyFont="1" applyFill="1" applyBorder="1" applyAlignment="1">
      <alignment horizontal="center" vertical="center" wrapText="1"/>
    </xf>
    <xf numFmtId="180" fontId="11" fillId="33" borderId="12" xfId="0" applyNumberFormat="1" applyFont="1" applyFill="1" applyBorder="1" applyAlignment="1">
      <alignment horizontal="center" vertical="center" wrapText="1"/>
    </xf>
    <xf numFmtId="177" fontId="13" fillId="33" borderId="14" xfId="54" applyNumberFormat="1" applyFont="1" applyFill="1" applyBorder="1" applyAlignment="1">
      <alignment horizontal="center" vertical="center" wrapText="1"/>
      <protection/>
    </xf>
    <xf numFmtId="177" fontId="13" fillId="33" borderId="30" xfId="54" applyNumberFormat="1" applyFont="1" applyFill="1" applyBorder="1" applyAlignment="1">
      <alignment horizontal="center" vertical="center" wrapText="1"/>
      <protection/>
    </xf>
    <xf numFmtId="0" fontId="11" fillId="33" borderId="13" xfId="54" applyFont="1" applyFill="1" applyBorder="1" applyAlignment="1">
      <alignment horizontal="center" vertical="center"/>
      <protection/>
    </xf>
    <xf numFmtId="177" fontId="11" fillId="33" borderId="16" xfId="54" applyNumberFormat="1" applyFont="1" applyFill="1" applyBorder="1" applyAlignment="1">
      <alignment horizontal="center" vertical="center" wrapText="1"/>
      <protection/>
    </xf>
    <xf numFmtId="177" fontId="11" fillId="33" borderId="12" xfId="54" applyNumberFormat="1" applyFont="1" applyFill="1" applyBorder="1" applyAlignment="1">
      <alignment horizontal="center" vertical="center" wrapText="1"/>
      <protection/>
    </xf>
    <xf numFmtId="0" fontId="13" fillId="33" borderId="14" xfId="54" applyFont="1" applyFill="1" applyBorder="1" applyAlignment="1">
      <alignment horizontal="center" vertical="center" wrapText="1"/>
      <protection/>
    </xf>
    <xf numFmtId="0" fontId="13" fillId="33" borderId="26" xfId="54" applyFont="1" applyFill="1" applyBorder="1" applyAlignment="1">
      <alignment horizontal="center" vertical="center" wrapText="1"/>
      <protection/>
    </xf>
    <xf numFmtId="177" fontId="5" fillId="33" borderId="13" xfId="54" applyNumberFormat="1" applyFont="1" applyFill="1" applyBorder="1" applyAlignment="1">
      <alignment horizontal="center" vertical="center" wrapText="1"/>
      <protection/>
    </xf>
    <xf numFmtId="177" fontId="11" fillId="0" borderId="13" xfId="54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/>
    </xf>
    <xf numFmtId="0" fontId="4" fillId="0" borderId="0" xfId="54" applyFont="1" applyFill="1" applyAlignment="1">
      <alignment horizontal="center"/>
      <protection/>
    </xf>
    <xf numFmtId="0" fontId="11" fillId="0" borderId="16" xfId="54" applyFont="1" applyFill="1" applyBorder="1" applyAlignment="1">
      <alignment horizontal="center" vertical="center"/>
      <protection/>
    </xf>
    <xf numFmtId="0" fontId="11" fillId="0" borderId="12" xfId="54" applyFont="1" applyFill="1" applyBorder="1" applyAlignment="1">
      <alignment horizontal="center" vertical="center"/>
      <protection/>
    </xf>
    <xf numFmtId="0" fontId="11" fillId="0" borderId="13" xfId="54" applyFont="1" applyFill="1" applyBorder="1" applyAlignment="1">
      <alignment horizontal="center" vertical="center" wrapText="1"/>
      <protection/>
    </xf>
    <xf numFmtId="0" fontId="11" fillId="0" borderId="0" xfId="54" applyFont="1" applyFill="1" applyAlignment="1">
      <alignment horizontal="right"/>
      <protection/>
    </xf>
    <xf numFmtId="0" fontId="11" fillId="0" borderId="16" xfId="54" applyFont="1" applyFill="1" applyBorder="1" applyAlignment="1">
      <alignment horizontal="center" vertical="center" wrapText="1"/>
      <protection/>
    </xf>
    <xf numFmtId="0" fontId="11" fillId="0" borderId="12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64;&#1077;&#1093;&#1086;&#1074;&#1094;&#1086;&#1074;&#1072;-2018\&#1052;&#1091;&#1085;&#1079;&#1072;&#1076;&#1072;&#1085;&#1080;&#1077;\&#1064;&#1082;&#1086;&#1083;&#1099;\&#1060;&#1054;%20&#1085;&#1072;%2001.01.2018\2018%20&#1075;&#1086;&#1076;\&#1056;&#1072;&#1089;&#1095;&#1077;&#1090;%20&#1060;&#1054;%20&#1085;&#1072;%2001.01.2018-&#1086;&#1073;&#1097;&#1077;&#1093;&#1086;&#1079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1086;&#1073;&#1097;&#1077;&#1093;&#1086;&#1079;.%20&#1085;&#1072;%20&#1103;&#1085;&#1074;&#1072;&#1088;&#1100;-&#1072;&#1087;&#1088;&#1077;&#1083;&#1100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колы-началка"/>
      <sheetName val="Школы-основная"/>
      <sheetName val="Школы-средняя"/>
      <sheetName val="Допобразование"/>
      <sheetName val="Коррекция"/>
      <sheetName val="ППК"/>
      <sheetName val="Работы"/>
      <sheetName val="Свод "/>
      <sheetName val="Свод в приказ"/>
    </sheetNames>
    <sheetDataSet>
      <sheetData sheetId="8">
        <row r="5">
          <cell r="E5">
            <v>2613.1000000000004</v>
          </cell>
        </row>
        <row r="6">
          <cell r="E6">
            <v>4745.500000000001</v>
          </cell>
        </row>
        <row r="7">
          <cell r="E7">
            <v>2287.1000000000004</v>
          </cell>
        </row>
        <row r="8">
          <cell r="E8">
            <v>3519.3999999999987</v>
          </cell>
        </row>
        <row r="9">
          <cell r="E9">
            <v>2024.4</v>
          </cell>
        </row>
        <row r="10">
          <cell r="E10">
            <v>2849.5</v>
          </cell>
        </row>
        <row r="11">
          <cell r="E11">
            <v>3215.899999999999</v>
          </cell>
        </row>
        <row r="12">
          <cell r="E12">
            <v>4031.0000000000005</v>
          </cell>
        </row>
        <row r="13">
          <cell r="E13">
            <v>1258.3999999999996</v>
          </cell>
        </row>
        <row r="14">
          <cell r="E14">
            <v>3040.0000000000005</v>
          </cell>
        </row>
        <row r="15">
          <cell r="E15">
            <v>2905.0999999999995</v>
          </cell>
        </row>
        <row r="16">
          <cell r="E16">
            <v>3804.3</v>
          </cell>
        </row>
        <row r="17">
          <cell r="E17">
            <v>4704.900000000001</v>
          </cell>
        </row>
        <row r="18">
          <cell r="E18">
            <v>2070</v>
          </cell>
        </row>
        <row r="19">
          <cell r="E19">
            <v>4185.499999999999</v>
          </cell>
        </row>
        <row r="20">
          <cell r="E20">
            <v>3961.2999999999997</v>
          </cell>
        </row>
        <row r="21">
          <cell r="E21">
            <v>1586.4</v>
          </cell>
        </row>
        <row r="22">
          <cell r="E22">
            <v>1535.2000000000003</v>
          </cell>
        </row>
        <row r="23">
          <cell r="E23">
            <v>3962</v>
          </cell>
        </row>
        <row r="24">
          <cell r="E24">
            <v>2966.6</v>
          </cell>
        </row>
        <row r="25">
          <cell r="E25">
            <v>2412.8999999999996</v>
          </cell>
        </row>
        <row r="26">
          <cell r="E26">
            <v>3593.5</v>
          </cell>
        </row>
        <row r="27">
          <cell r="E27">
            <v>2479.9000000000005</v>
          </cell>
        </row>
        <row r="28">
          <cell r="E28">
            <v>1917.6000000000001</v>
          </cell>
        </row>
        <row r="29">
          <cell r="E29">
            <v>2778.3</v>
          </cell>
        </row>
        <row r="30">
          <cell r="E30">
            <v>3374</v>
          </cell>
        </row>
        <row r="31">
          <cell r="E31">
            <v>2950.2</v>
          </cell>
        </row>
        <row r="32">
          <cell r="E32">
            <v>2691.5</v>
          </cell>
        </row>
        <row r="33">
          <cell r="E33">
            <v>5791.699999999999</v>
          </cell>
        </row>
        <row r="34">
          <cell r="E34">
            <v>2165.7999999999993</v>
          </cell>
        </row>
        <row r="35">
          <cell r="E35">
            <v>3490.9</v>
          </cell>
        </row>
        <row r="36">
          <cell r="E36">
            <v>3217.5999999999995</v>
          </cell>
        </row>
        <row r="37">
          <cell r="E37">
            <v>1129</v>
          </cell>
        </row>
        <row r="38">
          <cell r="E38">
            <v>3840</v>
          </cell>
        </row>
        <row r="39">
          <cell r="E39">
            <v>4334.6</v>
          </cell>
        </row>
        <row r="40">
          <cell r="E40">
            <v>1403</v>
          </cell>
        </row>
        <row r="41">
          <cell r="E41">
            <v>1141.1000000000001</v>
          </cell>
        </row>
        <row r="42">
          <cell r="E42">
            <v>2232.6000000000004</v>
          </cell>
        </row>
        <row r="43">
          <cell r="E43">
            <v>3084.9000000000005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Школы-началка"/>
      <sheetName val="Школы-основная"/>
      <sheetName val="Школы-средняя"/>
      <sheetName val="Допобразование"/>
      <sheetName val="Коррекция"/>
      <sheetName val="ППК"/>
      <sheetName val="Работы"/>
      <sheetName val="Свод в приказ"/>
    </sheetNames>
    <sheetDataSet>
      <sheetData sheetId="7">
        <row r="5">
          <cell r="C5">
            <v>879.8999999999999</v>
          </cell>
        </row>
        <row r="6">
          <cell r="C6">
            <v>1582.1999999999996</v>
          </cell>
        </row>
        <row r="7">
          <cell r="C7">
            <v>762.3000000000002</v>
          </cell>
        </row>
        <row r="8">
          <cell r="C8">
            <v>1172.8000000000002</v>
          </cell>
        </row>
        <row r="9">
          <cell r="C9">
            <v>161.99999999999997</v>
          </cell>
        </row>
        <row r="10">
          <cell r="C10">
            <v>949.0999999999998</v>
          </cell>
        </row>
        <row r="11">
          <cell r="C11">
            <v>1072</v>
          </cell>
        </row>
        <row r="12">
          <cell r="C12">
            <v>1343.8000000000002</v>
          </cell>
        </row>
        <row r="13">
          <cell r="C13">
            <v>419.5</v>
          </cell>
        </row>
        <row r="14">
          <cell r="C14">
            <v>1013.1000000000001</v>
          </cell>
        </row>
        <row r="15">
          <cell r="C15">
            <v>968.3000000000002</v>
          </cell>
        </row>
        <row r="16">
          <cell r="C16">
            <v>1267.8999999999999</v>
          </cell>
        </row>
        <row r="17">
          <cell r="C17">
            <v>1568.3</v>
          </cell>
        </row>
        <row r="18">
          <cell r="C18">
            <v>689.7999999999998</v>
          </cell>
        </row>
        <row r="19">
          <cell r="C19">
            <v>1394.8</v>
          </cell>
        </row>
        <row r="20">
          <cell r="C20">
            <v>1320.4999999999998</v>
          </cell>
        </row>
        <row r="21">
          <cell r="C21">
            <v>528.8999999999999</v>
          </cell>
        </row>
        <row r="22">
          <cell r="C22">
            <v>511.6</v>
          </cell>
        </row>
        <row r="23">
          <cell r="C23">
            <v>1320.7000000000003</v>
          </cell>
        </row>
        <row r="24">
          <cell r="C24">
            <v>989.1</v>
          </cell>
        </row>
        <row r="25">
          <cell r="C25">
            <v>804.2</v>
          </cell>
        </row>
        <row r="26">
          <cell r="C26">
            <v>1197.6</v>
          </cell>
        </row>
        <row r="27">
          <cell r="C27">
            <v>826.6</v>
          </cell>
        </row>
        <row r="28">
          <cell r="C28">
            <v>639.0999999999999</v>
          </cell>
        </row>
        <row r="29">
          <cell r="C29">
            <v>925.9999999999999</v>
          </cell>
        </row>
        <row r="30">
          <cell r="C30">
            <v>1124.4000000000003</v>
          </cell>
        </row>
        <row r="31">
          <cell r="C31">
            <v>983.2999999999998</v>
          </cell>
        </row>
        <row r="32">
          <cell r="C32">
            <v>897.0999999999999</v>
          </cell>
        </row>
        <row r="33">
          <cell r="C33">
            <v>1930.6</v>
          </cell>
        </row>
        <row r="34">
          <cell r="C34">
            <v>721.8000000000002</v>
          </cell>
        </row>
        <row r="35">
          <cell r="C35">
            <v>1163.5999999999997</v>
          </cell>
        </row>
        <row r="36">
          <cell r="C36">
            <v>1072.4</v>
          </cell>
        </row>
        <row r="37">
          <cell r="C37">
            <v>376.2</v>
          </cell>
        </row>
        <row r="38">
          <cell r="C38">
            <v>1279.7999999999997</v>
          </cell>
        </row>
        <row r="39">
          <cell r="C39">
            <v>1444.8000000000004</v>
          </cell>
        </row>
        <row r="40">
          <cell r="C40">
            <v>467.70000000000005</v>
          </cell>
        </row>
        <row r="41">
          <cell r="C41">
            <v>380.3</v>
          </cell>
        </row>
        <row r="42">
          <cell r="C42">
            <v>744.0999999999999</v>
          </cell>
        </row>
        <row r="43">
          <cell r="C43">
            <v>739.9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9"/>
  <sheetViews>
    <sheetView tabSelected="1" view="pageBreakPreview" zoomScale="71" zoomScaleNormal="74" zoomScaleSheetLayoutView="71" zoomScalePageLayoutView="0" workbookViewId="0" topLeftCell="A1">
      <pane xSplit="2" ySplit="7" topLeftCell="P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Y1" sqref="Y1:Z16384"/>
    </sheetView>
  </sheetViews>
  <sheetFormatPr defaultColWidth="9.140625" defaultRowHeight="12.75"/>
  <cols>
    <col min="1" max="1" width="9.00390625" style="3" customWidth="1"/>
    <col min="2" max="2" width="20.140625" style="3" customWidth="1"/>
    <col min="3" max="3" width="14.8515625" style="3" customWidth="1"/>
    <col min="4" max="4" width="16.7109375" style="3" customWidth="1"/>
    <col min="5" max="5" width="14.7109375" style="4" customWidth="1"/>
    <col min="6" max="6" width="13.7109375" style="4" customWidth="1"/>
    <col min="7" max="7" width="14.8515625" style="4" customWidth="1"/>
    <col min="8" max="8" width="15.7109375" style="4" customWidth="1"/>
    <col min="9" max="9" width="15.421875" style="4" customWidth="1"/>
    <col min="10" max="10" width="15.28125" style="4" customWidth="1"/>
    <col min="11" max="11" width="16.421875" style="4" customWidth="1"/>
    <col min="12" max="12" width="15.8515625" style="4" customWidth="1"/>
    <col min="13" max="15" width="29.7109375" style="4" customWidth="1"/>
    <col min="16" max="16" width="17.28125" style="16" customWidth="1"/>
    <col min="17" max="17" width="15.140625" style="16" customWidth="1"/>
    <col min="18" max="18" width="15.00390625" style="16" customWidth="1"/>
    <col min="19" max="19" width="12.00390625" style="16" customWidth="1"/>
    <col min="20" max="20" width="15.7109375" style="16" customWidth="1"/>
    <col min="21" max="21" width="14.57421875" style="16" customWidth="1"/>
    <col min="22" max="22" width="13.57421875" style="16" customWidth="1"/>
    <col min="23" max="23" width="19.8515625" style="16" customWidth="1"/>
    <col min="24" max="24" width="20.421875" style="16" customWidth="1"/>
    <col min="25" max="25" width="15.00390625" style="65" customWidth="1"/>
    <col min="26" max="26" width="21.8515625" style="65" customWidth="1"/>
    <col min="27" max="16384" width="9.140625" style="16" customWidth="1"/>
  </cols>
  <sheetData>
    <row r="1" spans="1:26" s="5" customFormat="1" ht="18.75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121"/>
      <c r="N1" s="121"/>
      <c r="O1" s="205"/>
      <c r="P1" s="234" t="s">
        <v>92</v>
      </c>
      <c r="Q1" s="234"/>
      <c r="R1" s="234"/>
      <c r="Y1" s="62"/>
      <c r="Z1" s="62"/>
    </row>
    <row r="2" spans="1:26" s="5" customFormat="1" ht="15.7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Y2" s="62"/>
      <c r="Z2" s="62"/>
    </row>
    <row r="3" spans="1:26" s="81" customFormat="1" ht="36.75" customHeight="1">
      <c r="A3" s="244" t="s">
        <v>75</v>
      </c>
      <c r="B3" s="237" t="s">
        <v>71</v>
      </c>
      <c r="C3" s="237" t="s">
        <v>72</v>
      </c>
      <c r="D3" s="254" t="s">
        <v>79</v>
      </c>
      <c r="E3" s="253" t="s">
        <v>73</v>
      </c>
      <c r="F3" s="253"/>
      <c r="G3" s="253"/>
      <c r="H3" s="253"/>
      <c r="I3" s="253"/>
      <c r="J3" s="253"/>
      <c r="K3" s="253"/>
      <c r="L3" s="253"/>
      <c r="M3" s="243" t="s">
        <v>77</v>
      </c>
      <c r="N3" s="243" t="s">
        <v>78</v>
      </c>
      <c r="O3" s="243" t="s">
        <v>91</v>
      </c>
      <c r="P3" s="247" t="s">
        <v>86</v>
      </c>
      <c r="Q3" s="248"/>
      <c r="R3" s="248"/>
      <c r="S3" s="248"/>
      <c r="T3" s="248"/>
      <c r="U3" s="248"/>
      <c r="V3" s="248"/>
      <c r="W3" s="248"/>
      <c r="X3" s="249"/>
      <c r="Y3" s="80"/>
      <c r="Z3" s="80"/>
    </row>
    <row r="4" spans="1:26" s="81" customFormat="1" ht="58.5" customHeight="1">
      <c r="A4" s="245"/>
      <c r="B4" s="238"/>
      <c r="C4" s="238"/>
      <c r="D4" s="255"/>
      <c r="E4" s="258" t="s">
        <v>38</v>
      </c>
      <c r="F4" s="259"/>
      <c r="G4" s="259"/>
      <c r="H4" s="259"/>
      <c r="I4" s="259"/>
      <c r="J4" s="259"/>
      <c r="K4" s="259"/>
      <c r="L4" s="260"/>
      <c r="M4" s="243"/>
      <c r="N4" s="243"/>
      <c r="O4" s="243"/>
      <c r="P4" s="250"/>
      <c r="Q4" s="251"/>
      <c r="R4" s="251"/>
      <c r="S4" s="251"/>
      <c r="T4" s="251"/>
      <c r="U4" s="251"/>
      <c r="V4" s="251"/>
      <c r="W4" s="251"/>
      <c r="X4" s="252"/>
      <c r="Y4" s="235"/>
      <c r="Z4" s="235"/>
    </row>
    <row r="5" spans="1:26" s="81" customFormat="1" ht="65.25" customHeight="1">
      <c r="A5" s="245"/>
      <c r="B5" s="238"/>
      <c r="C5" s="238"/>
      <c r="D5" s="255"/>
      <c r="E5" s="126" t="s">
        <v>53</v>
      </c>
      <c r="F5" s="126" t="s">
        <v>53</v>
      </c>
      <c r="G5" s="126" t="s">
        <v>53</v>
      </c>
      <c r="H5" s="126" t="s">
        <v>41</v>
      </c>
      <c r="I5" s="126" t="s">
        <v>53</v>
      </c>
      <c r="J5" s="126" t="s">
        <v>53</v>
      </c>
      <c r="K5" s="126" t="s">
        <v>41</v>
      </c>
      <c r="L5" s="126" t="s">
        <v>41</v>
      </c>
      <c r="M5" s="243"/>
      <c r="N5" s="243"/>
      <c r="O5" s="243"/>
      <c r="P5" s="241" t="s">
        <v>38</v>
      </c>
      <c r="Q5" s="241"/>
      <c r="R5" s="241"/>
      <c r="S5" s="241"/>
      <c r="T5" s="241"/>
      <c r="U5" s="241"/>
      <c r="V5" s="241"/>
      <c r="W5" s="242"/>
      <c r="X5" s="237" t="s">
        <v>86</v>
      </c>
      <c r="Y5" s="235"/>
      <c r="Z5" s="235"/>
    </row>
    <row r="6" spans="1:26" s="81" customFormat="1" ht="77.25" customHeight="1">
      <c r="A6" s="245"/>
      <c r="B6" s="236" t="s">
        <v>70</v>
      </c>
      <c r="C6" s="238"/>
      <c r="D6" s="255"/>
      <c r="E6" s="126" t="s">
        <v>43</v>
      </c>
      <c r="F6" s="126" t="s">
        <v>42</v>
      </c>
      <c r="G6" s="126" t="s">
        <v>44</v>
      </c>
      <c r="H6" s="126" t="s">
        <v>44</v>
      </c>
      <c r="I6" s="126" t="s">
        <v>58</v>
      </c>
      <c r="J6" s="126" t="s">
        <v>56</v>
      </c>
      <c r="K6" s="126" t="s">
        <v>58</v>
      </c>
      <c r="L6" s="126" t="s">
        <v>56</v>
      </c>
      <c r="M6" s="243"/>
      <c r="N6" s="243"/>
      <c r="O6" s="243"/>
      <c r="P6" s="126" t="s">
        <v>53</v>
      </c>
      <c r="Q6" s="126" t="s">
        <v>53</v>
      </c>
      <c r="R6" s="126" t="s">
        <v>53</v>
      </c>
      <c r="S6" s="126" t="s">
        <v>41</v>
      </c>
      <c r="T6" s="126" t="s">
        <v>53</v>
      </c>
      <c r="U6" s="126" t="s">
        <v>53</v>
      </c>
      <c r="V6" s="126" t="s">
        <v>41</v>
      </c>
      <c r="W6" s="126" t="s">
        <v>41</v>
      </c>
      <c r="X6" s="238"/>
      <c r="Y6" s="235"/>
      <c r="Z6" s="235"/>
    </row>
    <row r="7" spans="1:26" s="81" customFormat="1" ht="75.75" customHeight="1">
      <c r="A7" s="246"/>
      <c r="B7" s="236"/>
      <c r="C7" s="240"/>
      <c r="D7" s="256"/>
      <c r="E7" s="126" t="s">
        <v>69</v>
      </c>
      <c r="F7" s="126" t="s">
        <v>69</v>
      </c>
      <c r="G7" s="126" t="s">
        <v>69</v>
      </c>
      <c r="H7" s="126" t="s">
        <v>69</v>
      </c>
      <c r="I7" s="126" t="s">
        <v>69</v>
      </c>
      <c r="J7" s="126" t="s">
        <v>69</v>
      </c>
      <c r="K7" s="126" t="s">
        <v>69</v>
      </c>
      <c r="L7" s="126" t="s">
        <v>69</v>
      </c>
      <c r="M7" s="243"/>
      <c r="N7" s="243"/>
      <c r="O7" s="243"/>
      <c r="P7" s="122" t="s">
        <v>43</v>
      </c>
      <c r="Q7" s="126" t="s">
        <v>42</v>
      </c>
      <c r="R7" s="126" t="s">
        <v>44</v>
      </c>
      <c r="S7" s="126" t="s">
        <v>44</v>
      </c>
      <c r="T7" s="126" t="s">
        <v>58</v>
      </c>
      <c r="U7" s="126" t="s">
        <v>56</v>
      </c>
      <c r="V7" s="126" t="s">
        <v>58</v>
      </c>
      <c r="W7" s="126" t="s">
        <v>56</v>
      </c>
      <c r="X7" s="240"/>
      <c r="Y7" s="235"/>
      <c r="Z7" s="235"/>
    </row>
    <row r="8" spans="1:26" s="37" customFormat="1" ht="18" customHeight="1">
      <c r="A8" s="40">
        <v>1</v>
      </c>
      <c r="B8" s="41" t="s">
        <v>0</v>
      </c>
      <c r="C8" s="77">
        <v>5</v>
      </c>
      <c r="D8" s="91">
        <v>6226</v>
      </c>
      <c r="E8" s="131">
        <v>183</v>
      </c>
      <c r="F8" s="131"/>
      <c r="G8" s="131"/>
      <c r="H8" s="131">
        <v>6</v>
      </c>
      <c r="I8" s="131">
        <v>4</v>
      </c>
      <c r="J8" s="131"/>
      <c r="K8" s="131"/>
      <c r="L8" s="131">
        <v>3</v>
      </c>
      <c r="M8" s="93">
        <v>3347</v>
      </c>
      <c r="N8" s="79">
        <f aca="true" t="shared" si="0" ref="N8:N46">ROUND(D8/M8,3)</f>
        <v>1.86</v>
      </c>
      <c r="O8" s="217">
        <v>1.031</v>
      </c>
      <c r="P8" s="49">
        <f>ROUND(E8*M8*N8*O8/1000/12*8,1)</f>
        <v>783</v>
      </c>
      <c r="Q8" s="49">
        <f>ROUND(F8*M8*N8*O8/1000*8/12,1)</f>
        <v>0</v>
      </c>
      <c r="R8" s="49">
        <f>ROUND(G8/1000*N8*M8*8*O8/12,1)</f>
        <v>0</v>
      </c>
      <c r="S8" s="49">
        <f>ROUND(H8*M8*N8/1000*8*O8/12,1)</f>
        <v>25.7</v>
      </c>
      <c r="T8" s="49">
        <f>ROUND(I8*M8*N8/1000*8*O8/12,1)</f>
        <v>17.1</v>
      </c>
      <c r="U8" s="49">
        <f>ROUND(J8*M8*N8/1000*O8*8/12,1)</f>
        <v>0</v>
      </c>
      <c r="V8" s="49">
        <f>ROUND(K8*M8*N8/1000*8*O8/12,1)</f>
        <v>0</v>
      </c>
      <c r="W8" s="49">
        <f>ROUND(L8*M8*N8/1000*8*O8/12,1)</f>
        <v>12.8</v>
      </c>
      <c r="X8" s="49">
        <f aca="true" t="shared" si="1" ref="X8:X46">SUM(P8:W8)</f>
        <v>838.6</v>
      </c>
      <c r="Y8" s="226"/>
      <c r="Z8" s="211"/>
    </row>
    <row r="9" spans="1:26" s="37" customFormat="1" ht="15.75">
      <c r="A9" s="31">
        <v>2</v>
      </c>
      <c r="B9" s="41" t="s">
        <v>60</v>
      </c>
      <c r="C9" s="77">
        <v>6</v>
      </c>
      <c r="D9" s="91">
        <v>5886</v>
      </c>
      <c r="E9" s="60">
        <v>296</v>
      </c>
      <c r="F9" s="60">
        <v>2</v>
      </c>
      <c r="G9" s="60"/>
      <c r="H9" s="60">
        <v>3</v>
      </c>
      <c r="I9" s="60"/>
      <c r="J9" s="60"/>
      <c r="K9" s="60"/>
      <c r="L9" s="60"/>
      <c r="M9" s="93">
        <v>3347</v>
      </c>
      <c r="N9" s="79">
        <f t="shared" si="0"/>
        <v>1.759</v>
      </c>
      <c r="O9" s="217">
        <v>1.04</v>
      </c>
      <c r="P9" s="49">
        <f aca="true" t="shared" si="2" ref="P9:P46">ROUND(E9*M9*N9*O9/1000/12*8,1)</f>
        <v>1208.2</v>
      </c>
      <c r="Q9" s="49">
        <f aca="true" t="shared" si="3" ref="Q9:Q46">ROUND(F9*M9*N9*O9/1000*8/12,1)</f>
        <v>8.2</v>
      </c>
      <c r="R9" s="49">
        <f aca="true" t="shared" si="4" ref="R9:R46">ROUND(G9/1000*N9*M9*8*O9/12,1)</f>
        <v>0</v>
      </c>
      <c r="S9" s="49">
        <f aca="true" t="shared" si="5" ref="S9:S46">ROUND(H9*M9*N9/1000*8*O9/12,1)</f>
        <v>12.2</v>
      </c>
      <c r="T9" s="49">
        <f aca="true" t="shared" si="6" ref="T9:T46">ROUND(I9*M9*N9/1000*8*O9/12,1)</f>
        <v>0</v>
      </c>
      <c r="U9" s="49">
        <f aca="true" t="shared" si="7" ref="U9:U46">ROUND(J9*M9*N9/1000*O9*8/12,1)</f>
        <v>0</v>
      </c>
      <c r="V9" s="49">
        <f aca="true" t="shared" si="8" ref="V9:V46">ROUND(K9*M9*N9/1000*8*O9/12,1)</f>
        <v>0</v>
      </c>
      <c r="W9" s="49">
        <f aca="true" t="shared" si="9" ref="W9:W46">ROUND(L9*M9*N9/1000*8*O9/12,1)</f>
        <v>0</v>
      </c>
      <c r="X9" s="49">
        <f t="shared" si="1"/>
        <v>1228.6000000000001</v>
      </c>
      <c r="Y9" s="226"/>
      <c r="Z9" s="211"/>
    </row>
    <row r="10" spans="1:26" s="37" customFormat="1" ht="15.75">
      <c r="A10" s="31">
        <v>3</v>
      </c>
      <c r="B10" s="41" t="s">
        <v>1</v>
      </c>
      <c r="C10" s="77">
        <v>6</v>
      </c>
      <c r="D10" s="91">
        <v>3347</v>
      </c>
      <c r="E10" s="60">
        <v>281</v>
      </c>
      <c r="F10" s="60">
        <v>1</v>
      </c>
      <c r="G10" s="60">
        <v>6</v>
      </c>
      <c r="H10" s="60"/>
      <c r="I10" s="60"/>
      <c r="J10" s="60"/>
      <c r="K10" s="60">
        <v>3</v>
      </c>
      <c r="L10" s="60"/>
      <c r="M10" s="93">
        <v>3347</v>
      </c>
      <c r="N10" s="79">
        <f t="shared" si="0"/>
        <v>1</v>
      </c>
      <c r="O10" s="217">
        <v>1.035</v>
      </c>
      <c r="P10" s="49">
        <f t="shared" si="2"/>
        <v>648.9</v>
      </c>
      <c r="Q10" s="49">
        <f t="shared" si="3"/>
        <v>2.3</v>
      </c>
      <c r="R10" s="49">
        <f t="shared" si="4"/>
        <v>13.9</v>
      </c>
      <c r="S10" s="49">
        <f t="shared" si="5"/>
        <v>0</v>
      </c>
      <c r="T10" s="49">
        <f t="shared" si="6"/>
        <v>0</v>
      </c>
      <c r="U10" s="49">
        <f t="shared" si="7"/>
        <v>0</v>
      </c>
      <c r="V10" s="49">
        <f t="shared" si="8"/>
        <v>6.9</v>
      </c>
      <c r="W10" s="49">
        <f t="shared" si="9"/>
        <v>0</v>
      </c>
      <c r="X10" s="49">
        <f t="shared" si="1"/>
        <v>671.9999999999999</v>
      </c>
      <c r="Y10" s="226"/>
      <c r="Z10" s="211"/>
    </row>
    <row r="11" spans="1:26" s="37" customFormat="1" ht="15.75">
      <c r="A11" s="31">
        <v>4</v>
      </c>
      <c r="B11" s="41" t="s">
        <v>2</v>
      </c>
      <c r="C11" s="77">
        <v>5</v>
      </c>
      <c r="D11" s="91">
        <v>7575</v>
      </c>
      <c r="E11" s="132">
        <v>197</v>
      </c>
      <c r="F11" s="132"/>
      <c r="G11" s="132"/>
      <c r="H11" s="132"/>
      <c r="I11" s="132"/>
      <c r="J11" s="132">
        <v>1</v>
      </c>
      <c r="K11" s="132"/>
      <c r="L11" s="132">
        <v>4</v>
      </c>
      <c r="M11" s="93">
        <v>3347</v>
      </c>
      <c r="N11" s="79">
        <f t="shared" si="0"/>
        <v>2.263</v>
      </c>
      <c r="O11" s="217">
        <v>1.051</v>
      </c>
      <c r="P11" s="49">
        <f t="shared" si="2"/>
        <v>1045.5</v>
      </c>
      <c r="Q11" s="49">
        <f t="shared" si="3"/>
        <v>0</v>
      </c>
      <c r="R11" s="49">
        <f t="shared" si="4"/>
        <v>0</v>
      </c>
      <c r="S11" s="49">
        <f t="shared" si="5"/>
        <v>0</v>
      </c>
      <c r="T11" s="49">
        <f t="shared" si="6"/>
        <v>0</v>
      </c>
      <c r="U11" s="49">
        <f t="shared" si="7"/>
        <v>5.3</v>
      </c>
      <c r="V11" s="49">
        <f t="shared" si="8"/>
        <v>0</v>
      </c>
      <c r="W11" s="49">
        <f t="shared" si="9"/>
        <v>21.2</v>
      </c>
      <c r="X11" s="49">
        <f t="shared" si="1"/>
        <v>1072</v>
      </c>
      <c r="Y11" s="226"/>
      <c r="Z11" s="211"/>
    </row>
    <row r="12" spans="1:26" s="37" customFormat="1" ht="15.75">
      <c r="A12" s="31">
        <v>5</v>
      </c>
      <c r="B12" s="41" t="s">
        <v>59</v>
      </c>
      <c r="C12" s="77">
        <v>5</v>
      </c>
      <c r="D12" s="91">
        <v>7467</v>
      </c>
      <c r="E12" s="60">
        <v>47</v>
      </c>
      <c r="F12" s="60">
        <v>3</v>
      </c>
      <c r="G12" s="60"/>
      <c r="H12" s="60">
        <v>5</v>
      </c>
      <c r="I12" s="60"/>
      <c r="J12" s="60"/>
      <c r="K12" s="60">
        <v>2</v>
      </c>
      <c r="L12" s="60"/>
      <c r="M12" s="93">
        <v>3347</v>
      </c>
      <c r="N12" s="79">
        <f t="shared" si="0"/>
        <v>2.231</v>
      </c>
      <c r="O12" s="217">
        <v>1.07</v>
      </c>
      <c r="P12" s="49">
        <f t="shared" si="2"/>
        <v>250.3</v>
      </c>
      <c r="Q12" s="49">
        <f t="shared" si="3"/>
        <v>16</v>
      </c>
      <c r="R12" s="49">
        <f t="shared" si="4"/>
        <v>0</v>
      </c>
      <c r="S12" s="49">
        <f t="shared" si="5"/>
        <v>26.6</v>
      </c>
      <c r="T12" s="49">
        <f t="shared" si="6"/>
        <v>0</v>
      </c>
      <c r="U12" s="49">
        <f t="shared" si="7"/>
        <v>0</v>
      </c>
      <c r="V12" s="49">
        <f t="shared" si="8"/>
        <v>10.7</v>
      </c>
      <c r="W12" s="49">
        <f t="shared" si="9"/>
        <v>0</v>
      </c>
      <c r="X12" s="49">
        <f t="shared" si="1"/>
        <v>303.6</v>
      </c>
      <c r="Y12" s="226"/>
      <c r="Z12" s="211"/>
    </row>
    <row r="13" spans="1:26" s="37" customFormat="1" ht="15.75">
      <c r="A13" s="31">
        <v>6</v>
      </c>
      <c r="B13" s="41" t="s">
        <v>3</v>
      </c>
      <c r="C13" s="77">
        <v>5</v>
      </c>
      <c r="D13" s="91">
        <v>4342</v>
      </c>
      <c r="E13" s="60">
        <v>290</v>
      </c>
      <c r="F13" s="60">
        <v>3</v>
      </c>
      <c r="G13" s="60">
        <v>1</v>
      </c>
      <c r="H13" s="60">
        <v>2</v>
      </c>
      <c r="I13" s="60"/>
      <c r="J13" s="60"/>
      <c r="K13" s="60">
        <v>2</v>
      </c>
      <c r="L13" s="60">
        <v>1</v>
      </c>
      <c r="M13" s="93">
        <v>3347</v>
      </c>
      <c r="N13" s="79">
        <f t="shared" si="0"/>
        <v>1.297</v>
      </c>
      <c r="O13" s="217">
        <v>1.035</v>
      </c>
      <c r="P13" s="49">
        <f t="shared" si="2"/>
        <v>868.6</v>
      </c>
      <c r="Q13" s="49">
        <f t="shared" si="3"/>
        <v>9</v>
      </c>
      <c r="R13" s="49">
        <f t="shared" si="4"/>
        <v>3</v>
      </c>
      <c r="S13" s="49">
        <f t="shared" si="5"/>
        <v>6</v>
      </c>
      <c r="T13" s="49">
        <f t="shared" si="6"/>
        <v>0</v>
      </c>
      <c r="U13" s="49">
        <f t="shared" si="7"/>
        <v>0</v>
      </c>
      <c r="V13" s="49">
        <f t="shared" si="8"/>
        <v>6</v>
      </c>
      <c r="W13" s="49">
        <f t="shared" si="9"/>
        <v>3</v>
      </c>
      <c r="X13" s="49">
        <f t="shared" si="1"/>
        <v>895.6</v>
      </c>
      <c r="Y13" s="226"/>
      <c r="Z13" s="211"/>
    </row>
    <row r="14" spans="1:26" s="37" customFormat="1" ht="15.75" customHeight="1">
      <c r="A14" s="31">
        <v>7</v>
      </c>
      <c r="B14" s="41" t="s">
        <v>4</v>
      </c>
      <c r="C14" s="77">
        <v>5</v>
      </c>
      <c r="D14" s="91">
        <v>3715</v>
      </c>
      <c r="E14" s="60">
        <v>349</v>
      </c>
      <c r="F14" s="60"/>
      <c r="G14" s="60"/>
      <c r="H14" s="60">
        <v>3</v>
      </c>
      <c r="I14" s="60"/>
      <c r="J14" s="60"/>
      <c r="K14" s="60"/>
      <c r="L14" s="60">
        <v>2</v>
      </c>
      <c r="M14" s="93">
        <v>3347</v>
      </c>
      <c r="N14" s="79">
        <f t="shared" si="0"/>
        <v>1.11</v>
      </c>
      <c r="O14" s="217">
        <v>1.033</v>
      </c>
      <c r="P14" s="49">
        <f t="shared" si="2"/>
        <v>892.9</v>
      </c>
      <c r="Q14" s="49">
        <f t="shared" si="3"/>
        <v>0</v>
      </c>
      <c r="R14" s="49">
        <f t="shared" si="4"/>
        <v>0</v>
      </c>
      <c r="S14" s="49">
        <f t="shared" si="5"/>
        <v>7.7</v>
      </c>
      <c r="T14" s="49">
        <f t="shared" si="6"/>
        <v>0</v>
      </c>
      <c r="U14" s="49">
        <f t="shared" si="7"/>
        <v>0</v>
      </c>
      <c r="V14" s="49">
        <f t="shared" si="8"/>
        <v>0</v>
      </c>
      <c r="W14" s="49">
        <f t="shared" si="9"/>
        <v>5.1</v>
      </c>
      <c r="X14" s="49">
        <f t="shared" si="1"/>
        <v>905.7</v>
      </c>
      <c r="Y14" s="226"/>
      <c r="Z14" s="211"/>
    </row>
    <row r="15" spans="1:26" s="44" customFormat="1" ht="15.75">
      <c r="A15" s="42">
        <v>8</v>
      </c>
      <c r="B15" s="43" t="s">
        <v>5</v>
      </c>
      <c r="C15" s="77">
        <v>5</v>
      </c>
      <c r="D15" s="91">
        <v>4494</v>
      </c>
      <c r="E15" s="60">
        <v>374</v>
      </c>
      <c r="F15" s="60">
        <v>1</v>
      </c>
      <c r="G15" s="60"/>
      <c r="H15" s="60">
        <v>8</v>
      </c>
      <c r="I15" s="60">
        <v>2</v>
      </c>
      <c r="J15" s="60"/>
      <c r="K15" s="60"/>
      <c r="L15" s="60">
        <v>1</v>
      </c>
      <c r="M15" s="93">
        <v>3347</v>
      </c>
      <c r="N15" s="79">
        <f t="shared" si="0"/>
        <v>1.343</v>
      </c>
      <c r="O15" s="217">
        <v>1.02</v>
      </c>
      <c r="P15" s="49">
        <f t="shared" si="2"/>
        <v>1143.2</v>
      </c>
      <c r="Q15" s="49">
        <f t="shared" si="3"/>
        <v>3.1</v>
      </c>
      <c r="R15" s="49">
        <f t="shared" si="4"/>
        <v>0</v>
      </c>
      <c r="S15" s="49">
        <f t="shared" si="5"/>
        <v>24.5</v>
      </c>
      <c r="T15" s="49">
        <f t="shared" si="6"/>
        <v>6.1</v>
      </c>
      <c r="U15" s="49">
        <f t="shared" si="7"/>
        <v>0</v>
      </c>
      <c r="V15" s="49">
        <f t="shared" si="8"/>
        <v>0</v>
      </c>
      <c r="W15" s="49">
        <f t="shared" si="9"/>
        <v>3.1</v>
      </c>
      <c r="X15" s="49">
        <f t="shared" si="1"/>
        <v>1179.9999999999998</v>
      </c>
      <c r="Y15" s="226"/>
      <c r="Z15" s="211"/>
    </row>
    <row r="16" spans="1:26" s="37" customFormat="1" ht="15.75">
      <c r="A16" s="31">
        <v>9</v>
      </c>
      <c r="B16" s="41" t="s">
        <v>6</v>
      </c>
      <c r="C16" s="77">
        <v>5</v>
      </c>
      <c r="D16" s="91">
        <v>33330</v>
      </c>
      <c r="E16" s="60">
        <v>18</v>
      </c>
      <c r="F16" s="60"/>
      <c r="G16" s="60"/>
      <c r="H16" s="60"/>
      <c r="I16" s="60"/>
      <c r="J16" s="60"/>
      <c r="K16" s="60"/>
      <c r="L16" s="60"/>
      <c r="M16" s="93">
        <v>3347</v>
      </c>
      <c r="N16" s="79">
        <f t="shared" si="0"/>
        <v>9.958</v>
      </c>
      <c r="O16" s="217">
        <v>1.064</v>
      </c>
      <c r="P16" s="49">
        <f t="shared" si="2"/>
        <v>425.6</v>
      </c>
      <c r="Q16" s="49">
        <f t="shared" si="3"/>
        <v>0</v>
      </c>
      <c r="R16" s="49">
        <f t="shared" si="4"/>
        <v>0</v>
      </c>
      <c r="S16" s="49">
        <f t="shared" si="5"/>
        <v>0</v>
      </c>
      <c r="T16" s="49">
        <f t="shared" si="6"/>
        <v>0</v>
      </c>
      <c r="U16" s="49">
        <f t="shared" si="7"/>
        <v>0</v>
      </c>
      <c r="V16" s="49">
        <f t="shared" si="8"/>
        <v>0</v>
      </c>
      <c r="W16" s="49">
        <f t="shared" si="9"/>
        <v>0</v>
      </c>
      <c r="X16" s="49">
        <f t="shared" si="1"/>
        <v>425.6</v>
      </c>
      <c r="Y16" s="226"/>
      <c r="Z16" s="211"/>
    </row>
    <row r="17" spans="1:26" s="37" customFormat="1" ht="15.75">
      <c r="A17" s="42">
        <v>10</v>
      </c>
      <c r="B17" s="32" t="s">
        <v>7</v>
      </c>
      <c r="C17" s="77">
        <v>5</v>
      </c>
      <c r="D17" s="91">
        <v>15948</v>
      </c>
      <c r="E17" s="60">
        <v>75</v>
      </c>
      <c r="F17" s="60"/>
      <c r="G17" s="60"/>
      <c r="H17" s="60"/>
      <c r="I17" s="60"/>
      <c r="J17" s="60"/>
      <c r="K17" s="60">
        <v>1</v>
      </c>
      <c r="L17" s="60">
        <v>1</v>
      </c>
      <c r="M17" s="93">
        <v>3347</v>
      </c>
      <c r="N17" s="79">
        <f t="shared" si="0"/>
        <v>4.765</v>
      </c>
      <c r="O17" s="217">
        <v>1.045</v>
      </c>
      <c r="P17" s="49">
        <f t="shared" si="2"/>
        <v>833.3</v>
      </c>
      <c r="Q17" s="49">
        <f t="shared" si="3"/>
        <v>0</v>
      </c>
      <c r="R17" s="49">
        <f t="shared" si="4"/>
        <v>0</v>
      </c>
      <c r="S17" s="49">
        <f t="shared" si="5"/>
        <v>0</v>
      </c>
      <c r="T17" s="49">
        <f t="shared" si="6"/>
        <v>0</v>
      </c>
      <c r="U17" s="49">
        <f t="shared" si="7"/>
        <v>0</v>
      </c>
      <c r="V17" s="49">
        <f t="shared" si="8"/>
        <v>11.1</v>
      </c>
      <c r="W17" s="49">
        <f t="shared" si="9"/>
        <v>11.1</v>
      </c>
      <c r="X17" s="49">
        <f t="shared" si="1"/>
        <v>855.5</v>
      </c>
      <c r="Y17" s="226"/>
      <c r="Z17" s="211"/>
    </row>
    <row r="18" spans="1:26" s="37" customFormat="1" ht="15.75">
      <c r="A18" s="31">
        <v>11</v>
      </c>
      <c r="B18" s="32" t="s">
        <v>8</v>
      </c>
      <c r="C18" s="77">
        <v>5</v>
      </c>
      <c r="D18" s="91">
        <v>13154</v>
      </c>
      <c r="E18" s="60">
        <v>104</v>
      </c>
      <c r="F18" s="60">
        <v>1</v>
      </c>
      <c r="G18" s="60"/>
      <c r="H18" s="60"/>
      <c r="I18" s="60"/>
      <c r="J18" s="60"/>
      <c r="K18" s="60">
        <v>1</v>
      </c>
      <c r="L18" s="60"/>
      <c r="M18" s="93">
        <v>3347</v>
      </c>
      <c r="N18" s="79">
        <f t="shared" si="0"/>
        <v>3.93</v>
      </c>
      <c r="O18" s="217">
        <v>1.057</v>
      </c>
      <c r="P18" s="49">
        <f t="shared" si="2"/>
        <v>964</v>
      </c>
      <c r="Q18" s="49">
        <f t="shared" si="3"/>
        <v>9.3</v>
      </c>
      <c r="R18" s="49">
        <f t="shared" si="4"/>
        <v>0</v>
      </c>
      <c r="S18" s="49">
        <f t="shared" si="5"/>
        <v>0</v>
      </c>
      <c r="T18" s="49">
        <f t="shared" si="6"/>
        <v>0</v>
      </c>
      <c r="U18" s="49">
        <f t="shared" si="7"/>
        <v>0</v>
      </c>
      <c r="V18" s="49">
        <f t="shared" si="8"/>
        <v>9.3</v>
      </c>
      <c r="W18" s="49">
        <f t="shared" si="9"/>
        <v>0</v>
      </c>
      <c r="X18" s="49">
        <f t="shared" si="1"/>
        <v>982.5999999999999</v>
      </c>
      <c r="Y18" s="226"/>
      <c r="Z18" s="211"/>
    </row>
    <row r="19" spans="1:26" s="37" customFormat="1" ht="15.75">
      <c r="A19" s="42">
        <v>12</v>
      </c>
      <c r="B19" s="32" t="s">
        <v>9</v>
      </c>
      <c r="C19" s="77">
        <v>5</v>
      </c>
      <c r="D19" s="91">
        <v>15608</v>
      </c>
      <c r="E19" s="60">
        <v>103</v>
      </c>
      <c r="F19" s="60"/>
      <c r="G19" s="60"/>
      <c r="H19" s="60"/>
      <c r="I19" s="60"/>
      <c r="J19" s="60"/>
      <c r="K19" s="60">
        <v>3</v>
      </c>
      <c r="L19" s="60"/>
      <c r="M19" s="93">
        <v>3347</v>
      </c>
      <c r="N19" s="79">
        <f t="shared" si="0"/>
        <v>4.663</v>
      </c>
      <c r="O19" s="217">
        <v>1.054</v>
      </c>
      <c r="P19" s="49">
        <f t="shared" si="2"/>
        <v>1129.6</v>
      </c>
      <c r="Q19" s="49">
        <f t="shared" si="3"/>
        <v>0</v>
      </c>
      <c r="R19" s="49">
        <f t="shared" si="4"/>
        <v>0</v>
      </c>
      <c r="S19" s="49">
        <f t="shared" si="5"/>
        <v>0</v>
      </c>
      <c r="T19" s="49">
        <f t="shared" si="6"/>
        <v>0</v>
      </c>
      <c r="U19" s="49">
        <f t="shared" si="7"/>
        <v>0</v>
      </c>
      <c r="V19" s="49">
        <f t="shared" si="8"/>
        <v>32.9</v>
      </c>
      <c r="W19" s="49">
        <f t="shared" si="9"/>
        <v>0</v>
      </c>
      <c r="X19" s="49">
        <f t="shared" si="1"/>
        <v>1162.5</v>
      </c>
      <c r="Y19" s="226"/>
      <c r="Z19" s="211"/>
    </row>
    <row r="20" spans="1:26" s="37" customFormat="1" ht="15.75">
      <c r="A20" s="31">
        <v>13</v>
      </c>
      <c r="B20" s="32" t="s">
        <v>10</v>
      </c>
      <c r="C20" s="77">
        <v>5</v>
      </c>
      <c r="D20" s="91">
        <v>7136</v>
      </c>
      <c r="E20" s="60">
        <v>305</v>
      </c>
      <c r="F20" s="60"/>
      <c r="G20" s="60"/>
      <c r="H20" s="60"/>
      <c r="I20" s="60"/>
      <c r="J20" s="60"/>
      <c r="K20" s="60">
        <v>6</v>
      </c>
      <c r="L20" s="60"/>
      <c r="M20" s="93">
        <v>3347</v>
      </c>
      <c r="N20" s="79">
        <f t="shared" si="0"/>
        <v>2.132</v>
      </c>
      <c r="O20" s="217">
        <v>1.032</v>
      </c>
      <c r="P20" s="49">
        <f t="shared" si="2"/>
        <v>1497.4</v>
      </c>
      <c r="Q20" s="49">
        <f t="shared" si="3"/>
        <v>0</v>
      </c>
      <c r="R20" s="49">
        <f t="shared" si="4"/>
        <v>0</v>
      </c>
      <c r="S20" s="49">
        <f t="shared" si="5"/>
        <v>0</v>
      </c>
      <c r="T20" s="49">
        <f t="shared" si="6"/>
        <v>0</v>
      </c>
      <c r="U20" s="49">
        <f t="shared" si="7"/>
        <v>0</v>
      </c>
      <c r="V20" s="49">
        <f t="shared" si="8"/>
        <v>29.5</v>
      </c>
      <c r="W20" s="49">
        <f t="shared" si="9"/>
        <v>0</v>
      </c>
      <c r="X20" s="49">
        <f t="shared" si="1"/>
        <v>1526.9</v>
      </c>
      <c r="Y20" s="226"/>
      <c r="Z20" s="211"/>
    </row>
    <row r="21" spans="1:26" s="37" customFormat="1" ht="19.5" customHeight="1">
      <c r="A21" s="42">
        <v>14</v>
      </c>
      <c r="B21" s="32" t="s">
        <v>11</v>
      </c>
      <c r="C21" s="77">
        <v>5</v>
      </c>
      <c r="D21" s="91">
        <v>29224</v>
      </c>
      <c r="E21" s="60">
        <v>41</v>
      </c>
      <c r="F21" s="60"/>
      <c r="G21" s="60"/>
      <c r="H21" s="60">
        <v>1</v>
      </c>
      <c r="I21" s="60"/>
      <c r="J21" s="60"/>
      <c r="K21" s="60"/>
      <c r="L21" s="60">
        <v>1</v>
      </c>
      <c r="M21" s="93">
        <v>3347</v>
      </c>
      <c r="N21" s="79">
        <f t="shared" si="0"/>
        <v>8.731</v>
      </c>
      <c r="O21" s="217">
        <v>1.071</v>
      </c>
      <c r="P21" s="49">
        <f t="shared" si="2"/>
        <v>855.5</v>
      </c>
      <c r="Q21" s="49">
        <f t="shared" si="3"/>
        <v>0</v>
      </c>
      <c r="R21" s="49">
        <f t="shared" si="4"/>
        <v>0</v>
      </c>
      <c r="S21" s="49">
        <f t="shared" si="5"/>
        <v>20.9</v>
      </c>
      <c r="T21" s="49">
        <f t="shared" si="6"/>
        <v>0</v>
      </c>
      <c r="U21" s="49">
        <f t="shared" si="7"/>
        <v>0</v>
      </c>
      <c r="V21" s="49">
        <f t="shared" si="8"/>
        <v>0</v>
      </c>
      <c r="W21" s="49">
        <f t="shared" si="9"/>
        <v>20.9</v>
      </c>
      <c r="X21" s="49">
        <f t="shared" si="1"/>
        <v>897.3</v>
      </c>
      <c r="Y21" s="226"/>
      <c r="Z21" s="211"/>
    </row>
    <row r="22" spans="1:26" s="37" customFormat="1" ht="15.75">
      <c r="A22" s="31">
        <v>15</v>
      </c>
      <c r="B22" s="32" t="s">
        <v>12</v>
      </c>
      <c r="C22" s="77">
        <v>5</v>
      </c>
      <c r="D22" s="91">
        <v>8754</v>
      </c>
      <c r="E22" s="60">
        <v>195</v>
      </c>
      <c r="F22" s="60">
        <v>2</v>
      </c>
      <c r="G22" s="60"/>
      <c r="H22" s="60">
        <v>1</v>
      </c>
      <c r="I22" s="60">
        <v>1</v>
      </c>
      <c r="J22" s="60"/>
      <c r="K22" s="60">
        <v>1</v>
      </c>
      <c r="L22" s="60"/>
      <c r="M22" s="93">
        <v>3347</v>
      </c>
      <c r="N22" s="79">
        <f t="shared" si="0"/>
        <v>2.615</v>
      </c>
      <c r="O22" s="217">
        <v>1.033</v>
      </c>
      <c r="P22" s="49">
        <f t="shared" si="2"/>
        <v>1175.4</v>
      </c>
      <c r="Q22" s="49">
        <f t="shared" si="3"/>
        <v>12.1</v>
      </c>
      <c r="R22" s="49">
        <f t="shared" si="4"/>
        <v>0</v>
      </c>
      <c r="S22" s="49">
        <f t="shared" si="5"/>
        <v>6</v>
      </c>
      <c r="T22" s="49">
        <f t="shared" si="6"/>
        <v>6</v>
      </c>
      <c r="U22" s="49">
        <f t="shared" si="7"/>
        <v>0</v>
      </c>
      <c r="V22" s="49">
        <f t="shared" si="8"/>
        <v>6</v>
      </c>
      <c r="W22" s="49">
        <f t="shared" si="9"/>
        <v>0</v>
      </c>
      <c r="X22" s="49">
        <f t="shared" si="1"/>
        <v>1205.5</v>
      </c>
      <c r="Y22" s="226"/>
      <c r="Z22" s="211"/>
    </row>
    <row r="23" spans="1:26" s="37" customFormat="1" ht="15.75" customHeight="1">
      <c r="A23" s="42">
        <v>16</v>
      </c>
      <c r="B23" s="32" t="s">
        <v>13</v>
      </c>
      <c r="C23" s="77">
        <v>5</v>
      </c>
      <c r="D23" s="91">
        <v>24475</v>
      </c>
      <c r="E23" s="60">
        <v>70</v>
      </c>
      <c r="F23" s="60"/>
      <c r="G23" s="60"/>
      <c r="H23" s="60">
        <v>5</v>
      </c>
      <c r="I23" s="60">
        <v>1</v>
      </c>
      <c r="J23" s="60"/>
      <c r="K23" s="60">
        <v>1</v>
      </c>
      <c r="L23" s="60"/>
      <c r="M23" s="93">
        <v>3347</v>
      </c>
      <c r="N23" s="79">
        <f t="shared" si="0"/>
        <v>7.313</v>
      </c>
      <c r="O23" s="217">
        <v>1.033</v>
      </c>
      <c r="P23" s="49">
        <f t="shared" si="2"/>
        <v>1179.9</v>
      </c>
      <c r="Q23" s="49">
        <f t="shared" si="3"/>
        <v>0</v>
      </c>
      <c r="R23" s="49">
        <f t="shared" si="4"/>
        <v>0</v>
      </c>
      <c r="S23" s="49">
        <f t="shared" si="5"/>
        <v>84.3</v>
      </c>
      <c r="T23" s="49">
        <f t="shared" si="6"/>
        <v>16.9</v>
      </c>
      <c r="U23" s="49">
        <f t="shared" si="7"/>
        <v>0</v>
      </c>
      <c r="V23" s="49">
        <f t="shared" si="8"/>
        <v>16.9</v>
      </c>
      <c r="W23" s="49">
        <f t="shared" si="9"/>
        <v>0</v>
      </c>
      <c r="X23" s="49">
        <f t="shared" si="1"/>
        <v>1298.0000000000002</v>
      </c>
      <c r="Y23" s="226"/>
      <c r="Z23" s="211"/>
    </row>
    <row r="24" spans="1:26" s="37" customFormat="1" ht="19.5" customHeight="1">
      <c r="A24" s="31">
        <v>17</v>
      </c>
      <c r="B24" s="32" t="s">
        <v>14</v>
      </c>
      <c r="C24" s="77">
        <v>5</v>
      </c>
      <c r="D24" s="91">
        <v>56989</v>
      </c>
      <c r="E24" s="60">
        <v>12</v>
      </c>
      <c r="F24" s="133"/>
      <c r="G24" s="133"/>
      <c r="H24" s="133"/>
      <c r="I24" s="133"/>
      <c r="J24" s="133"/>
      <c r="K24" s="133"/>
      <c r="L24" s="133"/>
      <c r="M24" s="93">
        <v>3347</v>
      </c>
      <c r="N24" s="79">
        <f t="shared" si="0"/>
        <v>17.027</v>
      </c>
      <c r="O24" s="217">
        <v>1.046</v>
      </c>
      <c r="P24" s="49">
        <f t="shared" si="2"/>
        <v>476.9</v>
      </c>
      <c r="Q24" s="49">
        <f t="shared" si="3"/>
        <v>0</v>
      </c>
      <c r="R24" s="49">
        <f t="shared" si="4"/>
        <v>0</v>
      </c>
      <c r="S24" s="49">
        <f t="shared" si="5"/>
        <v>0</v>
      </c>
      <c r="T24" s="49">
        <f t="shared" si="6"/>
        <v>0</v>
      </c>
      <c r="U24" s="49">
        <f t="shared" si="7"/>
        <v>0</v>
      </c>
      <c r="V24" s="49">
        <f t="shared" si="8"/>
        <v>0</v>
      </c>
      <c r="W24" s="49">
        <f t="shared" si="9"/>
        <v>0</v>
      </c>
      <c r="X24" s="49">
        <f t="shared" si="1"/>
        <v>476.9</v>
      </c>
      <c r="Y24" s="226"/>
      <c r="Z24" s="211"/>
    </row>
    <row r="25" spans="1:26" s="37" customFormat="1" ht="15.75">
      <c r="A25" s="42">
        <v>18</v>
      </c>
      <c r="B25" s="32" t="s">
        <v>15</v>
      </c>
      <c r="C25" s="77">
        <v>5</v>
      </c>
      <c r="D25" s="91">
        <v>21271</v>
      </c>
      <c r="E25" s="60">
        <v>29</v>
      </c>
      <c r="F25" s="60"/>
      <c r="G25" s="60"/>
      <c r="H25" s="60">
        <v>3</v>
      </c>
      <c r="I25" s="60">
        <v>1</v>
      </c>
      <c r="J25" s="60"/>
      <c r="K25" s="60">
        <v>1</v>
      </c>
      <c r="L25" s="60"/>
      <c r="M25" s="93">
        <v>3347</v>
      </c>
      <c r="N25" s="79">
        <f t="shared" si="0"/>
        <v>6.355</v>
      </c>
      <c r="O25" s="217">
        <v>1.09</v>
      </c>
      <c r="P25" s="49">
        <f t="shared" si="2"/>
        <v>448.2</v>
      </c>
      <c r="Q25" s="49">
        <f t="shared" si="3"/>
        <v>0</v>
      </c>
      <c r="R25" s="49">
        <f t="shared" si="4"/>
        <v>0</v>
      </c>
      <c r="S25" s="49">
        <f t="shared" si="5"/>
        <v>46.4</v>
      </c>
      <c r="T25" s="49">
        <f t="shared" si="6"/>
        <v>15.5</v>
      </c>
      <c r="U25" s="49">
        <f t="shared" si="7"/>
        <v>0</v>
      </c>
      <c r="V25" s="49">
        <f t="shared" si="8"/>
        <v>15.5</v>
      </c>
      <c r="W25" s="49">
        <f t="shared" si="9"/>
        <v>0</v>
      </c>
      <c r="X25" s="49">
        <f t="shared" si="1"/>
        <v>525.5999999999999</v>
      </c>
      <c r="Y25" s="226"/>
      <c r="Z25" s="211"/>
    </row>
    <row r="26" spans="1:26" s="37" customFormat="1" ht="21" customHeight="1">
      <c r="A26" s="31">
        <v>19</v>
      </c>
      <c r="B26" s="32" t="s">
        <v>16</v>
      </c>
      <c r="C26" s="77">
        <v>5</v>
      </c>
      <c r="D26" s="91">
        <v>15687</v>
      </c>
      <c r="E26" s="60">
        <v>118</v>
      </c>
      <c r="F26" s="60"/>
      <c r="G26" s="60"/>
      <c r="H26" s="60">
        <v>1</v>
      </c>
      <c r="I26" s="60"/>
      <c r="J26" s="60"/>
      <c r="K26" s="60"/>
      <c r="L26" s="60">
        <v>2</v>
      </c>
      <c r="M26" s="93">
        <v>3347</v>
      </c>
      <c r="N26" s="79">
        <f t="shared" si="0"/>
        <v>4.687</v>
      </c>
      <c r="O26" s="217">
        <v>1.036</v>
      </c>
      <c r="P26" s="49">
        <f t="shared" si="2"/>
        <v>1278.5</v>
      </c>
      <c r="Q26" s="49">
        <f t="shared" si="3"/>
        <v>0</v>
      </c>
      <c r="R26" s="49">
        <f t="shared" si="4"/>
        <v>0</v>
      </c>
      <c r="S26" s="49">
        <f t="shared" si="5"/>
        <v>10.8</v>
      </c>
      <c r="T26" s="49">
        <f t="shared" si="6"/>
        <v>0</v>
      </c>
      <c r="U26" s="49">
        <f t="shared" si="7"/>
        <v>0</v>
      </c>
      <c r="V26" s="49">
        <f t="shared" si="8"/>
        <v>0</v>
      </c>
      <c r="W26" s="49">
        <f t="shared" si="9"/>
        <v>21.7</v>
      </c>
      <c r="X26" s="49">
        <f t="shared" si="1"/>
        <v>1311</v>
      </c>
      <c r="Y26" s="226"/>
      <c r="Z26" s="211"/>
    </row>
    <row r="27" spans="1:26" s="37" customFormat="1" ht="15.75">
      <c r="A27" s="42">
        <v>20</v>
      </c>
      <c r="B27" s="32" t="s">
        <v>17</v>
      </c>
      <c r="C27" s="77">
        <v>5</v>
      </c>
      <c r="D27" s="91">
        <v>6204</v>
      </c>
      <c r="E27" s="60">
        <v>204</v>
      </c>
      <c r="F27" s="60">
        <v>2</v>
      </c>
      <c r="G27" s="60"/>
      <c r="H27" s="60">
        <v>2</v>
      </c>
      <c r="I27" s="60"/>
      <c r="J27" s="60"/>
      <c r="K27" s="60">
        <v>1</v>
      </c>
      <c r="L27" s="60">
        <v>1</v>
      </c>
      <c r="M27" s="93">
        <v>3347</v>
      </c>
      <c r="N27" s="79">
        <f t="shared" si="0"/>
        <v>1.854</v>
      </c>
      <c r="O27" s="217">
        <v>1.046</v>
      </c>
      <c r="P27" s="49">
        <f t="shared" si="2"/>
        <v>882.7</v>
      </c>
      <c r="Q27" s="49">
        <f t="shared" si="3"/>
        <v>8.7</v>
      </c>
      <c r="R27" s="49">
        <f t="shared" si="4"/>
        <v>0</v>
      </c>
      <c r="S27" s="49">
        <f t="shared" si="5"/>
        <v>8.7</v>
      </c>
      <c r="T27" s="49">
        <f t="shared" si="6"/>
        <v>0</v>
      </c>
      <c r="U27" s="49">
        <f t="shared" si="7"/>
        <v>0</v>
      </c>
      <c r="V27" s="49">
        <f t="shared" si="8"/>
        <v>4.3</v>
      </c>
      <c r="W27" s="49">
        <f t="shared" si="9"/>
        <v>4.3</v>
      </c>
      <c r="X27" s="49">
        <f t="shared" si="1"/>
        <v>908.7</v>
      </c>
      <c r="Y27" s="226"/>
      <c r="Z27" s="211"/>
    </row>
    <row r="28" spans="1:26" s="37" customFormat="1" ht="21.75" customHeight="1">
      <c r="A28" s="31">
        <v>21</v>
      </c>
      <c r="B28" s="32" t="s">
        <v>18</v>
      </c>
      <c r="C28" s="77">
        <v>5</v>
      </c>
      <c r="D28" s="91">
        <v>36770</v>
      </c>
      <c r="E28" s="60">
        <v>28</v>
      </c>
      <c r="F28" s="60">
        <v>1</v>
      </c>
      <c r="G28" s="60">
        <v>2</v>
      </c>
      <c r="H28" s="60"/>
      <c r="I28" s="60"/>
      <c r="J28" s="60"/>
      <c r="K28" s="60"/>
      <c r="L28" s="60"/>
      <c r="M28" s="93">
        <v>3347</v>
      </c>
      <c r="N28" s="79">
        <f t="shared" si="0"/>
        <v>10.986</v>
      </c>
      <c r="O28" s="217">
        <v>1.039</v>
      </c>
      <c r="P28" s="49">
        <f t="shared" si="2"/>
        <v>713.1</v>
      </c>
      <c r="Q28" s="49">
        <f t="shared" si="3"/>
        <v>25.5</v>
      </c>
      <c r="R28" s="49">
        <f t="shared" si="4"/>
        <v>50.9</v>
      </c>
      <c r="S28" s="49">
        <f t="shared" si="5"/>
        <v>0</v>
      </c>
      <c r="T28" s="49">
        <f t="shared" si="6"/>
        <v>0</v>
      </c>
      <c r="U28" s="49">
        <f t="shared" si="7"/>
        <v>0</v>
      </c>
      <c r="V28" s="49">
        <f t="shared" si="8"/>
        <v>0</v>
      </c>
      <c r="W28" s="49">
        <f t="shared" si="9"/>
        <v>0</v>
      </c>
      <c r="X28" s="49">
        <f t="shared" si="1"/>
        <v>789.5</v>
      </c>
      <c r="Y28" s="226"/>
      <c r="Z28" s="211"/>
    </row>
    <row r="29" spans="1:26" s="37" customFormat="1" ht="15" customHeight="1">
      <c r="A29" s="42">
        <v>22</v>
      </c>
      <c r="B29" s="32" t="s">
        <v>19</v>
      </c>
      <c r="C29" s="77">
        <v>5</v>
      </c>
      <c r="D29" s="91">
        <v>13269</v>
      </c>
      <c r="E29" s="60">
        <v>122</v>
      </c>
      <c r="F29" s="60"/>
      <c r="G29" s="60">
        <v>1</v>
      </c>
      <c r="H29" s="60"/>
      <c r="I29" s="60">
        <v>1</v>
      </c>
      <c r="J29" s="60"/>
      <c r="K29" s="60">
        <v>3</v>
      </c>
      <c r="L29" s="60"/>
      <c r="M29" s="93">
        <v>3347</v>
      </c>
      <c r="N29" s="79">
        <f t="shared" si="0"/>
        <v>3.964</v>
      </c>
      <c r="O29" s="217">
        <v>1.047</v>
      </c>
      <c r="P29" s="49">
        <f t="shared" si="2"/>
        <v>1129.8</v>
      </c>
      <c r="Q29" s="49">
        <f t="shared" si="3"/>
        <v>0</v>
      </c>
      <c r="R29" s="49">
        <f t="shared" si="4"/>
        <v>9.3</v>
      </c>
      <c r="S29" s="49">
        <f t="shared" si="5"/>
        <v>0</v>
      </c>
      <c r="T29" s="49">
        <f t="shared" si="6"/>
        <v>9.3</v>
      </c>
      <c r="U29" s="49">
        <f t="shared" si="7"/>
        <v>0</v>
      </c>
      <c r="V29" s="49">
        <f t="shared" si="8"/>
        <v>27.8</v>
      </c>
      <c r="W29" s="49">
        <f t="shared" si="9"/>
        <v>0</v>
      </c>
      <c r="X29" s="49">
        <f t="shared" si="1"/>
        <v>1176.1999999999998</v>
      </c>
      <c r="Y29" s="226"/>
      <c r="Z29" s="211"/>
    </row>
    <row r="30" spans="1:26" s="37" customFormat="1" ht="18.75" customHeight="1">
      <c r="A30" s="31">
        <v>23</v>
      </c>
      <c r="B30" s="32" t="s">
        <v>20</v>
      </c>
      <c r="C30" s="77">
        <v>6</v>
      </c>
      <c r="D30" s="91">
        <v>28637</v>
      </c>
      <c r="E30" s="60">
        <v>32</v>
      </c>
      <c r="F30" s="60">
        <v>1</v>
      </c>
      <c r="G30" s="60"/>
      <c r="H30" s="60"/>
      <c r="I30" s="60"/>
      <c r="J30" s="60"/>
      <c r="K30" s="60"/>
      <c r="L30" s="60"/>
      <c r="M30" s="93">
        <v>3347</v>
      </c>
      <c r="N30" s="79">
        <f t="shared" si="0"/>
        <v>8.556</v>
      </c>
      <c r="O30" s="217">
        <v>1.033</v>
      </c>
      <c r="P30" s="49">
        <f t="shared" si="2"/>
        <v>631.1</v>
      </c>
      <c r="Q30" s="49">
        <f t="shared" si="3"/>
        <v>19.7</v>
      </c>
      <c r="R30" s="49">
        <f t="shared" si="4"/>
        <v>0</v>
      </c>
      <c r="S30" s="49">
        <f t="shared" si="5"/>
        <v>0</v>
      </c>
      <c r="T30" s="49">
        <f t="shared" si="6"/>
        <v>0</v>
      </c>
      <c r="U30" s="49">
        <f t="shared" si="7"/>
        <v>0</v>
      </c>
      <c r="V30" s="49">
        <f t="shared" si="8"/>
        <v>0</v>
      </c>
      <c r="W30" s="49">
        <f t="shared" si="9"/>
        <v>0</v>
      </c>
      <c r="X30" s="49">
        <f t="shared" si="1"/>
        <v>650.8000000000001</v>
      </c>
      <c r="Y30" s="226"/>
      <c r="Z30" s="211"/>
    </row>
    <row r="31" spans="1:26" s="37" customFormat="1" ht="15.75">
      <c r="A31" s="42">
        <v>24</v>
      </c>
      <c r="B31" s="32" t="s">
        <v>21</v>
      </c>
      <c r="C31" s="77">
        <v>5</v>
      </c>
      <c r="D31" s="91">
        <v>46500</v>
      </c>
      <c r="E31" s="60">
        <v>14</v>
      </c>
      <c r="F31" s="60"/>
      <c r="G31" s="60"/>
      <c r="H31" s="60"/>
      <c r="I31" s="60"/>
      <c r="J31" s="60"/>
      <c r="K31" s="60"/>
      <c r="L31" s="60"/>
      <c r="M31" s="93">
        <v>3347</v>
      </c>
      <c r="N31" s="79">
        <f t="shared" si="0"/>
        <v>13.893</v>
      </c>
      <c r="O31" s="217">
        <v>1.058</v>
      </c>
      <c r="P31" s="49">
        <f t="shared" si="2"/>
        <v>459.2</v>
      </c>
      <c r="Q31" s="49">
        <f t="shared" si="3"/>
        <v>0</v>
      </c>
      <c r="R31" s="49">
        <f t="shared" si="4"/>
        <v>0</v>
      </c>
      <c r="S31" s="49">
        <f t="shared" si="5"/>
        <v>0</v>
      </c>
      <c r="T31" s="49">
        <f t="shared" si="6"/>
        <v>0</v>
      </c>
      <c r="U31" s="49">
        <f t="shared" si="7"/>
        <v>0</v>
      </c>
      <c r="V31" s="49">
        <f t="shared" si="8"/>
        <v>0</v>
      </c>
      <c r="W31" s="49">
        <f t="shared" si="9"/>
        <v>0</v>
      </c>
      <c r="X31" s="49">
        <f t="shared" si="1"/>
        <v>459.2</v>
      </c>
      <c r="Y31" s="226"/>
      <c r="Z31" s="211"/>
    </row>
    <row r="32" spans="1:26" s="37" customFormat="1" ht="15.75">
      <c r="A32" s="31">
        <v>25</v>
      </c>
      <c r="B32" s="32" t="s">
        <v>22</v>
      </c>
      <c r="C32" s="77">
        <v>6</v>
      </c>
      <c r="D32" s="91">
        <v>67373</v>
      </c>
      <c r="E32" s="60">
        <v>13</v>
      </c>
      <c r="F32" s="60"/>
      <c r="G32" s="60"/>
      <c r="H32" s="60"/>
      <c r="I32" s="60"/>
      <c r="J32" s="60"/>
      <c r="K32" s="60"/>
      <c r="L32" s="60"/>
      <c r="M32" s="93">
        <v>3347</v>
      </c>
      <c r="N32" s="79">
        <f t="shared" si="0"/>
        <v>20.129</v>
      </c>
      <c r="O32" s="217">
        <v>1.04</v>
      </c>
      <c r="P32" s="49">
        <f t="shared" si="2"/>
        <v>607.2</v>
      </c>
      <c r="Q32" s="49">
        <f t="shared" si="3"/>
        <v>0</v>
      </c>
      <c r="R32" s="49">
        <f t="shared" si="4"/>
        <v>0</v>
      </c>
      <c r="S32" s="49">
        <f t="shared" si="5"/>
        <v>0</v>
      </c>
      <c r="T32" s="49">
        <f t="shared" si="6"/>
        <v>0</v>
      </c>
      <c r="U32" s="49">
        <f t="shared" si="7"/>
        <v>0</v>
      </c>
      <c r="V32" s="49">
        <f t="shared" si="8"/>
        <v>0</v>
      </c>
      <c r="W32" s="49">
        <f t="shared" si="9"/>
        <v>0</v>
      </c>
      <c r="X32" s="49">
        <f t="shared" si="1"/>
        <v>607.2</v>
      </c>
      <c r="Y32" s="226"/>
      <c r="Z32" s="211"/>
    </row>
    <row r="33" spans="1:26" s="37" customFormat="1" ht="18" customHeight="1">
      <c r="A33" s="42">
        <v>26</v>
      </c>
      <c r="B33" s="32" t="s">
        <v>23</v>
      </c>
      <c r="C33" s="77">
        <v>5</v>
      </c>
      <c r="D33" s="91">
        <v>28921</v>
      </c>
      <c r="E33" s="60">
        <v>45</v>
      </c>
      <c r="F33" s="60"/>
      <c r="G33" s="60"/>
      <c r="H33" s="60"/>
      <c r="I33" s="60"/>
      <c r="J33" s="60"/>
      <c r="K33" s="60">
        <v>1</v>
      </c>
      <c r="L33" s="60"/>
      <c r="M33" s="93">
        <v>3347</v>
      </c>
      <c r="N33" s="79">
        <f t="shared" si="0"/>
        <v>8.641</v>
      </c>
      <c r="O33" s="217">
        <v>1.046</v>
      </c>
      <c r="P33" s="49">
        <f t="shared" si="2"/>
        <v>907.6</v>
      </c>
      <c r="Q33" s="49">
        <f t="shared" si="3"/>
        <v>0</v>
      </c>
      <c r="R33" s="49">
        <f t="shared" si="4"/>
        <v>0</v>
      </c>
      <c r="S33" s="49">
        <f t="shared" si="5"/>
        <v>0</v>
      </c>
      <c r="T33" s="49">
        <f t="shared" si="6"/>
        <v>0</v>
      </c>
      <c r="U33" s="49">
        <f t="shared" si="7"/>
        <v>0</v>
      </c>
      <c r="V33" s="49">
        <f t="shared" si="8"/>
        <v>20.2</v>
      </c>
      <c r="W33" s="49">
        <f t="shared" si="9"/>
        <v>0</v>
      </c>
      <c r="X33" s="49">
        <f t="shared" si="1"/>
        <v>927.8000000000001</v>
      </c>
      <c r="Y33" s="226"/>
      <c r="Z33" s="211"/>
    </row>
    <row r="34" spans="1:26" s="37" customFormat="1" ht="24" customHeight="1">
      <c r="A34" s="31">
        <v>27</v>
      </c>
      <c r="B34" s="32" t="s">
        <v>24</v>
      </c>
      <c r="C34" s="77">
        <v>5</v>
      </c>
      <c r="D34" s="91">
        <v>25064</v>
      </c>
      <c r="E34" s="60">
        <v>55</v>
      </c>
      <c r="F34" s="60"/>
      <c r="G34" s="60"/>
      <c r="H34" s="60"/>
      <c r="I34" s="60"/>
      <c r="J34" s="60"/>
      <c r="K34" s="60"/>
      <c r="L34" s="60"/>
      <c r="M34" s="93">
        <v>3347</v>
      </c>
      <c r="N34" s="79">
        <f t="shared" si="0"/>
        <v>7.488</v>
      </c>
      <c r="O34" s="217">
        <v>1.045</v>
      </c>
      <c r="P34" s="49">
        <f t="shared" si="2"/>
        <v>960.3</v>
      </c>
      <c r="Q34" s="49">
        <f t="shared" si="3"/>
        <v>0</v>
      </c>
      <c r="R34" s="49">
        <f t="shared" si="4"/>
        <v>0</v>
      </c>
      <c r="S34" s="49">
        <f t="shared" si="5"/>
        <v>0</v>
      </c>
      <c r="T34" s="49">
        <f t="shared" si="6"/>
        <v>0</v>
      </c>
      <c r="U34" s="49">
        <f t="shared" si="7"/>
        <v>0</v>
      </c>
      <c r="V34" s="49">
        <f t="shared" si="8"/>
        <v>0</v>
      </c>
      <c r="W34" s="49">
        <f t="shared" si="9"/>
        <v>0</v>
      </c>
      <c r="X34" s="49">
        <f t="shared" si="1"/>
        <v>960.3</v>
      </c>
      <c r="Y34" s="226"/>
      <c r="Z34" s="211"/>
    </row>
    <row r="35" spans="1:26" s="37" customFormat="1" ht="18" customHeight="1">
      <c r="A35" s="42">
        <v>28</v>
      </c>
      <c r="B35" s="32" t="s">
        <v>25</v>
      </c>
      <c r="C35" s="77">
        <v>5</v>
      </c>
      <c r="D35" s="91">
        <v>48753</v>
      </c>
      <c r="E35" s="60">
        <v>20</v>
      </c>
      <c r="F35" s="60"/>
      <c r="G35" s="60"/>
      <c r="H35" s="60">
        <v>1</v>
      </c>
      <c r="I35" s="60"/>
      <c r="J35" s="60"/>
      <c r="K35" s="60"/>
      <c r="L35" s="60"/>
      <c r="M35" s="93">
        <v>3347</v>
      </c>
      <c r="N35" s="79">
        <f t="shared" si="0"/>
        <v>14.566</v>
      </c>
      <c r="O35" s="217">
        <v>1.049</v>
      </c>
      <c r="P35" s="49">
        <f t="shared" si="2"/>
        <v>681.9</v>
      </c>
      <c r="Q35" s="49">
        <f t="shared" si="3"/>
        <v>0</v>
      </c>
      <c r="R35" s="49">
        <f t="shared" si="4"/>
        <v>0</v>
      </c>
      <c r="S35" s="49">
        <f t="shared" si="5"/>
        <v>34.1</v>
      </c>
      <c r="T35" s="49">
        <f t="shared" si="6"/>
        <v>0</v>
      </c>
      <c r="U35" s="49">
        <f t="shared" si="7"/>
        <v>0</v>
      </c>
      <c r="V35" s="49">
        <f t="shared" si="8"/>
        <v>0</v>
      </c>
      <c r="W35" s="49">
        <f t="shared" si="9"/>
        <v>0</v>
      </c>
      <c r="X35" s="49">
        <f t="shared" si="1"/>
        <v>716</v>
      </c>
      <c r="Y35" s="226"/>
      <c r="Z35" s="211"/>
    </row>
    <row r="36" spans="1:26" s="37" customFormat="1" ht="18.75" customHeight="1">
      <c r="A36" s="31">
        <v>29</v>
      </c>
      <c r="B36" s="32" t="s">
        <v>26</v>
      </c>
      <c r="C36" s="77">
        <v>6</v>
      </c>
      <c r="D36" s="91">
        <v>65413</v>
      </c>
      <c r="E36" s="60">
        <v>33</v>
      </c>
      <c r="F36" s="60"/>
      <c r="G36" s="60"/>
      <c r="H36" s="60"/>
      <c r="I36" s="60"/>
      <c r="J36" s="60"/>
      <c r="K36" s="60"/>
      <c r="L36" s="60"/>
      <c r="M36" s="93">
        <v>3347</v>
      </c>
      <c r="N36" s="79">
        <f t="shared" si="0"/>
        <v>19.544</v>
      </c>
      <c r="O36" s="217">
        <v>1.021</v>
      </c>
      <c r="P36" s="49">
        <f t="shared" si="2"/>
        <v>1469.3</v>
      </c>
      <c r="Q36" s="49">
        <f t="shared" si="3"/>
        <v>0</v>
      </c>
      <c r="R36" s="49">
        <f t="shared" si="4"/>
        <v>0</v>
      </c>
      <c r="S36" s="49">
        <f t="shared" si="5"/>
        <v>0</v>
      </c>
      <c r="T36" s="49">
        <f t="shared" si="6"/>
        <v>0</v>
      </c>
      <c r="U36" s="49">
        <f t="shared" si="7"/>
        <v>0</v>
      </c>
      <c r="V36" s="49">
        <f t="shared" si="8"/>
        <v>0</v>
      </c>
      <c r="W36" s="49">
        <f t="shared" si="9"/>
        <v>0</v>
      </c>
      <c r="X36" s="49">
        <f t="shared" si="1"/>
        <v>1469.3</v>
      </c>
      <c r="Y36" s="226"/>
      <c r="Z36" s="211"/>
    </row>
    <row r="37" spans="1:26" s="37" customFormat="1" ht="32.25" customHeight="1">
      <c r="A37" s="42">
        <v>30</v>
      </c>
      <c r="B37" s="32" t="s">
        <v>27</v>
      </c>
      <c r="C37" s="77">
        <v>6</v>
      </c>
      <c r="D37" s="91">
        <v>48853</v>
      </c>
      <c r="E37" s="60">
        <v>20</v>
      </c>
      <c r="F37" s="60"/>
      <c r="G37" s="60"/>
      <c r="H37" s="60"/>
      <c r="I37" s="60"/>
      <c r="J37" s="60"/>
      <c r="K37" s="60"/>
      <c r="L37" s="60"/>
      <c r="M37" s="93">
        <v>3347</v>
      </c>
      <c r="N37" s="79">
        <f t="shared" si="0"/>
        <v>14.596</v>
      </c>
      <c r="O37" s="217">
        <v>1.036</v>
      </c>
      <c r="P37" s="49">
        <f t="shared" si="2"/>
        <v>674.8</v>
      </c>
      <c r="Q37" s="49">
        <f t="shared" si="3"/>
        <v>0</v>
      </c>
      <c r="R37" s="49">
        <f t="shared" si="4"/>
        <v>0</v>
      </c>
      <c r="S37" s="49">
        <f t="shared" si="5"/>
        <v>0</v>
      </c>
      <c r="T37" s="49">
        <f t="shared" si="6"/>
        <v>0</v>
      </c>
      <c r="U37" s="49">
        <f t="shared" si="7"/>
        <v>0</v>
      </c>
      <c r="V37" s="49">
        <f t="shared" si="8"/>
        <v>0</v>
      </c>
      <c r="W37" s="49">
        <f t="shared" si="9"/>
        <v>0</v>
      </c>
      <c r="X37" s="49">
        <f t="shared" si="1"/>
        <v>674.8</v>
      </c>
      <c r="Y37" s="226"/>
      <c r="Z37" s="211"/>
    </row>
    <row r="38" spans="1:26" s="37" customFormat="1" ht="31.5">
      <c r="A38" s="31">
        <v>31</v>
      </c>
      <c r="B38" s="32" t="s">
        <v>28</v>
      </c>
      <c r="C38" s="77">
        <v>5</v>
      </c>
      <c r="D38" s="91">
        <v>31354</v>
      </c>
      <c r="E38" s="60">
        <v>47</v>
      </c>
      <c r="F38" s="60"/>
      <c r="G38" s="60"/>
      <c r="H38" s="60"/>
      <c r="I38" s="60"/>
      <c r="J38" s="60"/>
      <c r="K38" s="60"/>
      <c r="L38" s="60"/>
      <c r="M38" s="93">
        <v>3347</v>
      </c>
      <c r="N38" s="79">
        <f t="shared" si="0"/>
        <v>9.368</v>
      </c>
      <c r="O38" s="217">
        <v>1.036</v>
      </c>
      <c r="P38" s="49">
        <f t="shared" si="2"/>
        <v>1017.8</v>
      </c>
      <c r="Q38" s="49">
        <f t="shared" si="3"/>
        <v>0</v>
      </c>
      <c r="R38" s="49">
        <f t="shared" si="4"/>
        <v>0</v>
      </c>
      <c r="S38" s="49">
        <f t="shared" si="5"/>
        <v>0</v>
      </c>
      <c r="T38" s="49">
        <f t="shared" si="6"/>
        <v>0</v>
      </c>
      <c r="U38" s="49">
        <f t="shared" si="7"/>
        <v>0</v>
      </c>
      <c r="V38" s="49">
        <f t="shared" si="8"/>
        <v>0</v>
      </c>
      <c r="W38" s="49">
        <f t="shared" si="9"/>
        <v>0</v>
      </c>
      <c r="X38" s="49">
        <f t="shared" si="1"/>
        <v>1017.8</v>
      </c>
      <c r="Y38" s="226"/>
      <c r="Z38" s="211"/>
    </row>
    <row r="39" spans="1:26" s="37" customFormat="1" ht="15.75">
      <c r="A39" s="42">
        <v>32</v>
      </c>
      <c r="B39" s="32" t="s">
        <v>29</v>
      </c>
      <c r="C39" s="77">
        <v>5</v>
      </c>
      <c r="D39" s="91">
        <v>44126</v>
      </c>
      <c r="E39" s="60">
        <v>33</v>
      </c>
      <c r="F39" s="60"/>
      <c r="G39" s="60"/>
      <c r="H39" s="60">
        <v>1</v>
      </c>
      <c r="I39" s="60"/>
      <c r="J39" s="60"/>
      <c r="K39" s="60">
        <v>2</v>
      </c>
      <c r="L39" s="60"/>
      <c r="M39" s="93">
        <v>3347</v>
      </c>
      <c r="N39" s="79">
        <f t="shared" si="0"/>
        <v>13.184</v>
      </c>
      <c r="O39" s="217">
        <v>1.043</v>
      </c>
      <c r="P39" s="49">
        <f t="shared" si="2"/>
        <v>1012.5</v>
      </c>
      <c r="Q39" s="49">
        <f t="shared" si="3"/>
        <v>0</v>
      </c>
      <c r="R39" s="49">
        <f t="shared" si="4"/>
        <v>0</v>
      </c>
      <c r="S39" s="49">
        <f t="shared" si="5"/>
        <v>30.7</v>
      </c>
      <c r="T39" s="49">
        <f t="shared" si="6"/>
        <v>0</v>
      </c>
      <c r="U39" s="49">
        <f t="shared" si="7"/>
        <v>0</v>
      </c>
      <c r="V39" s="49">
        <f t="shared" si="8"/>
        <v>61.4</v>
      </c>
      <c r="W39" s="49">
        <f t="shared" si="9"/>
        <v>0</v>
      </c>
      <c r="X39" s="49">
        <f t="shared" si="1"/>
        <v>1104.6000000000001</v>
      </c>
      <c r="Y39" s="226"/>
      <c r="Z39" s="211"/>
    </row>
    <row r="40" spans="1:26" s="37" customFormat="1" ht="31.5">
      <c r="A40" s="31">
        <v>33</v>
      </c>
      <c r="B40" s="32" t="s">
        <v>30</v>
      </c>
      <c r="C40" s="77">
        <v>6</v>
      </c>
      <c r="D40" s="91">
        <v>27660</v>
      </c>
      <c r="E40" s="60">
        <v>16</v>
      </c>
      <c r="F40" s="60"/>
      <c r="G40" s="60"/>
      <c r="H40" s="60"/>
      <c r="I40" s="60"/>
      <c r="J40" s="60"/>
      <c r="K40" s="60">
        <v>1</v>
      </c>
      <c r="L40" s="60"/>
      <c r="M40" s="93">
        <v>3347</v>
      </c>
      <c r="N40" s="79">
        <f t="shared" si="0"/>
        <v>8.264</v>
      </c>
      <c r="O40" s="217">
        <v>1.033</v>
      </c>
      <c r="P40" s="49">
        <f t="shared" si="2"/>
        <v>304.8</v>
      </c>
      <c r="Q40" s="49">
        <f t="shared" si="3"/>
        <v>0</v>
      </c>
      <c r="R40" s="49">
        <f t="shared" si="4"/>
        <v>0</v>
      </c>
      <c r="S40" s="49">
        <f t="shared" si="5"/>
        <v>0</v>
      </c>
      <c r="T40" s="49">
        <f t="shared" si="6"/>
        <v>0</v>
      </c>
      <c r="U40" s="49">
        <f t="shared" si="7"/>
        <v>0</v>
      </c>
      <c r="V40" s="49">
        <f t="shared" si="8"/>
        <v>19</v>
      </c>
      <c r="W40" s="49">
        <f t="shared" si="9"/>
        <v>0</v>
      </c>
      <c r="X40" s="49">
        <f t="shared" si="1"/>
        <v>323.8</v>
      </c>
      <c r="Y40" s="226"/>
      <c r="Z40" s="211"/>
    </row>
    <row r="41" spans="1:26" s="37" customFormat="1" ht="18.75" customHeight="1">
      <c r="A41" s="42">
        <v>34</v>
      </c>
      <c r="B41" s="32" t="s">
        <v>31</v>
      </c>
      <c r="C41" s="77">
        <v>5</v>
      </c>
      <c r="D41" s="91">
        <v>17307</v>
      </c>
      <c r="E41" s="60">
        <v>84</v>
      </c>
      <c r="F41" s="60"/>
      <c r="G41" s="60"/>
      <c r="H41" s="60">
        <v>5</v>
      </c>
      <c r="I41" s="60"/>
      <c r="J41" s="60"/>
      <c r="K41" s="60"/>
      <c r="L41" s="60">
        <v>2</v>
      </c>
      <c r="M41" s="93">
        <v>3347</v>
      </c>
      <c r="N41" s="79">
        <f t="shared" si="0"/>
        <v>5.171</v>
      </c>
      <c r="O41" s="217">
        <v>1.027</v>
      </c>
      <c r="P41" s="49">
        <f t="shared" si="2"/>
        <v>995.4</v>
      </c>
      <c r="Q41" s="49">
        <f t="shared" si="3"/>
        <v>0</v>
      </c>
      <c r="R41" s="49">
        <f t="shared" si="4"/>
        <v>0</v>
      </c>
      <c r="S41" s="49">
        <f t="shared" si="5"/>
        <v>59.2</v>
      </c>
      <c r="T41" s="49">
        <f t="shared" si="6"/>
        <v>0</v>
      </c>
      <c r="U41" s="49">
        <f t="shared" si="7"/>
        <v>0</v>
      </c>
      <c r="V41" s="49">
        <f t="shared" si="8"/>
        <v>0</v>
      </c>
      <c r="W41" s="49">
        <f t="shared" si="9"/>
        <v>23.7</v>
      </c>
      <c r="X41" s="49">
        <f t="shared" si="1"/>
        <v>1078.3</v>
      </c>
      <c r="Y41" s="226"/>
      <c r="Z41" s="211"/>
    </row>
    <row r="42" spans="1:26" s="37" customFormat="1" ht="36.75" customHeight="1">
      <c r="A42" s="31">
        <v>35</v>
      </c>
      <c r="B42" s="32" t="s">
        <v>32</v>
      </c>
      <c r="C42" s="77">
        <v>5</v>
      </c>
      <c r="D42" s="91">
        <v>18046</v>
      </c>
      <c r="E42" s="60">
        <v>112</v>
      </c>
      <c r="F42" s="60"/>
      <c r="G42" s="60"/>
      <c r="H42" s="60">
        <v>2</v>
      </c>
      <c r="I42" s="60"/>
      <c r="J42" s="60"/>
      <c r="K42" s="60"/>
      <c r="L42" s="60"/>
      <c r="M42" s="93">
        <v>3347</v>
      </c>
      <c r="N42" s="79">
        <f t="shared" si="0"/>
        <v>5.392</v>
      </c>
      <c r="O42" s="217">
        <v>1.029</v>
      </c>
      <c r="P42" s="49">
        <f t="shared" si="2"/>
        <v>1386.6</v>
      </c>
      <c r="Q42" s="49">
        <f t="shared" si="3"/>
        <v>0</v>
      </c>
      <c r="R42" s="49">
        <f t="shared" si="4"/>
        <v>0</v>
      </c>
      <c r="S42" s="49">
        <f t="shared" si="5"/>
        <v>24.8</v>
      </c>
      <c r="T42" s="49">
        <f t="shared" si="6"/>
        <v>0</v>
      </c>
      <c r="U42" s="49">
        <f t="shared" si="7"/>
        <v>0</v>
      </c>
      <c r="V42" s="49">
        <f t="shared" si="8"/>
        <v>0</v>
      </c>
      <c r="W42" s="49">
        <f t="shared" si="9"/>
        <v>0</v>
      </c>
      <c r="X42" s="49">
        <f t="shared" si="1"/>
        <v>1411.3999999999999</v>
      </c>
      <c r="Y42" s="226"/>
      <c r="Z42" s="211"/>
    </row>
    <row r="43" spans="1:26" s="37" customFormat="1" ht="29.25" customHeight="1">
      <c r="A43" s="42">
        <v>36</v>
      </c>
      <c r="B43" s="32" t="s">
        <v>33</v>
      </c>
      <c r="C43" s="77">
        <v>5</v>
      </c>
      <c r="D43" s="91">
        <v>7483</v>
      </c>
      <c r="E43" s="60">
        <v>75</v>
      </c>
      <c r="F43" s="60">
        <v>2</v>
      </c>
      <c r="G43" s="60"/>
      <c r="H43" s="60">
        <v>1</v>
      </c>
      <c r="I43" s="60"/>
      <c r="J43" s="60"/>
      <c r="K43" s="60">
        <v>1</v>
      </c>
      <c r="L43" s="60"/>
      <c r="M43" s="93">
        <v>3347</v>
      </c>
      <c r="N43" s="79">
        <f t="shared" si="0"/>
        <v>2.236</v>
      </c>
      <c r="O43" s="217">
        <v>1.09</v>
      </c>
      <c r="P43" s="49">
        <f t="shared" si="2"/>
        <v>407.9</v>
      </c>
      <c r="Q43" s="49">
        <f t="shared" si="3"/>
        <v>10.9</v>
      </c>
      <c r="R43" s="49">
        <f t="shared" si="4"/>
        <v>0</v>
      </c>
      <c r="S43" s="49">
        <f t="shared" si="5"/>
        <v>5.4</v>
      </c>
      <c r="T43" s="49">
        <f t="shared" si="6"/>
        <v>0</v>
      </c>
      <c r="U43" s="49">
        <f t="shared" si="7"/>
        <v>0</v>
      </c>
      <c r="V43" s="49">
        <f t="shared" si="8"/>
        <v>5.4</v>
      </c>
      <c r="W43" s="49">
        <f t="shared" si="9"/>
        <v>0</v>
      </c>
      <c r="X43" s="49">
        <f t="shared" si="1"/>
        <v>429.5999999999999</v>
      </c>
      <c r="Y43" s="226"/>
      <c r="Z43" s="211"/>
    </row>
    <row r="44" spans="1:26" s="37" customFormat="1" ht="29.25" customHeight="1">
      <c r="A44" s="31">
        <v>37</v>
      </c>
      <c r="B44" s="32" t="s">
        <v>34</v>
      </c>
      <c r="C44" s="77">
        <v>6</v>
      </c>
      <c r="D44" s="91">
        <v>12299</v>
      </c>
      <c r="E44" s="60">
        <v>34</v>
      </c>
      <c r="F44" s="60"/>
      <c r="G44" s="60"/>
      <c r="H44" s="60">
        <v>5</v>
      </c>
      <c r="I44" s="60"/>
      <c r="J44" s="60"/>
      <c r="K44" s="60"/>
      <c r="L44" s="60"/>
      <c r="M44" s="93">
        <v>3347</v>
      </c>
      <c r="N44" s="79">
        <f t="shared" si="0"/>
        <v>3.675</v>
      </c>
      <c r="O44" s="217">
        <v>1.09</v>
      </c>
      <c r="P44" s="49">
        <f t="shared" si="2"/>
        <v>303.9</v>
      </c>
      <c r="Q44" s="49">
        <f t="shared" si="3"/>
        <v>0</v>
      </c>
      <c r="R44" s="49">
        <f t="shared" si="4"/>
        <v>0</v>
      </c>
      <c r="S44" s="49">
        <f t="shared" si="5"/>
        <v>44.7</v>
      </c>
      <c r="T44" s="49">
        <f t="shared" si="6"/>
        <v>0</v>
      </c>
      <c r="U44" s="49">
        <f t="shared" si="7"/>
        <v>0</v>
      </c>
      <c r="V44" s="49">
        <f t="shared" si="8"/>
        <v>0</v>
      </c>
      <c r="W44" s="49">
        <f t="shared" si="9"/>
        <v>0</v>
      </c>
      <c r="X44" s="49">
        <f t="shared" si="1"/>
        <v>348.59999999999997</v>
      </c>
      <c r="Y44" s="226"/>
      <c r="Z44" s="211"/>
    </row>
    <row r="45" spans="1:26" s="37" customFormat="1" ht="31.5">
      <c r="A45" s="42">
        <v>38</v>
      </c>
      <c r="B45" s="32" t="s">
        <v>35</v>
      </c>
      <c r="C45" s="77">
        <v>5</v>
      </c>
      <c r="D45" s="91">
        <v>48127</v>
      </c>
      <c r="E45" s="134">
        <v>22</v>
      </c>
      <c r="F45" s="60"/>
      <c r="G45" s="60"/>
      <c r="H45" s="60"/>
      <c r="I45" s="60"/>
      <c r="J45" s="60"/>
      <c r="K45" s="60"/>
      <c r="L45" s="60"/>
      <c r="M45" s="93">
        <v>3347</v>
      </c>
      <c r="N45" s="79">
        <f t="shared" si="0"/>
        <v>14.379</v>
      </c>
      <c r="O45" s="217">
        <v>1.065</v>
      </c>
      <c r="P45" s="49">
        <f t="shared" si="2"/>
        <v>751.7</v>
      </c>
      <c r="Q45" s="49">
        <f t="shared" si="3"/>
        <v>0</v>
      </c>
      <c r="R45" s="49">
        <f t="shared" si="4"/>
        <v>0</v>
      </c>
      <c r="S45" s="49">
        <f t="shared" si="5"/>
        <v>0</v>
      </c>
      <c r="T45" s="49">
        <f t="shared" si="6"/>
        <v>0</v>
      </c>
      <c r="U45" s="49">
        <f t="shared" si="7"/>
        <v>0</v>
      </c>
      <c r="V45" s="49">
        <f t="shared" si="8"/>
        <v>0</v>
      </c>
      <c r="W45" s="49">
        <f t="shared" si="9"/>
        <v>0</v>
      </c>
      <c r="X45" s="49">
        <f t="shared" si="1"/>
        <v>751.7</v>
      </c>
      <c r="Y45" s="226"/>
      <c r="Z45" s="211"/>
    </row>
    <row r="46" spans="1:26" s="37" customFormat="1" ht="31.5">
      <c r="A46" s="136">
        <v>39</v>
      </c>
      <c r="B46" s="45" t="s">
        <v>36</v>
      </c>
      <c r="C46" s="137">
        <v>5</v>
      </c>
      <c r="D46" s="92">
        <v>36054</v>
      </c>
      <c r="E46" s="135">
        <v>31</v>
      </c>
      <c r="F46" s="138"/>
      <c r="G46" s="138"/>
      <c r="H46" s="138"/>
      <c r="I46" s="138"/>
      <c r="J46" s="138"/>
      <c r="K46" s="138"/>
      <c r="L46" s="138"/>
      <c r="M46" s="139">
        <v>3347</v>
      </c>
      <c r="N46" s="140">
        <f t="shared" si="0"/>
        <v>10.772</v>
      </c>
      <c r="O46" s="230">
        <v>1.053</v>
      </c>
      <c r="P46" s="49">
        <f t="shared" si="2"/>
        <v>784.6</v>
      </c>
      <c r="Q46" s="49">
        <f t="shared" si="3"/>
        <v>0</v>
      </c>
      <c r="R46" s="49">
        <f t="shared" si="4"/>
        <v>0</v>
      </c>
      <c r="S46" s="49">
        <f t="shared" si="5"/>
        <v>0</v>
      </c>
      <c r="T46" s="49">
        <f t="shared" si="6"/>
        <v>0</v>
      </c>
      <c r="U46" s="49">
        <f t="shared" si="7"/>
        <v>0</v>
      </c>
      <c r="V46" s="49">
        <f t="shared" si="8"/>
        <v>0</v>
      </c>
      <c r="W46" s="49">
        <f t="shared" si="9"/>
        <v>0</v>
      </c>
      <c r="X46" s="49">
        <f t="shared" si="1"/>
        <v>784.6</v>
      </c>
      <c r="Y46" s="226"/>
      <c r="Z46" s="211"/>
    </row>
    <row r="47" spans="1:26" s="37" customFormat="1" ht="51.75" customHeight="1">
      <c r="A47" s="31"/>
      <c r="B47" s="142" t="s">
        <v>74</v>
      </c>
      <c r="C47" s="143"/>
      <c r="D47" s="144"/>
      <c r="E47" s="75">
        <f>SUM(E8:E46)</f>
        <v>4127</v>
      </c>
      <c r="F47" s="75">
        <f aca="true" t="shared" si="10" ref="F47:L47">SUM(F8:F46)</f>
        <v>19</v>
      </c>
      <c r="G47" s="75">
        <f>SUM(G8:G46)</f>
        <v>10</v>
      </c>
      <c r="H47" s="75">
        <f>SUM(H8:H46)</f>
        <v>55</v>
      </c>
      <c r="I47" s="75">
        <f t="shared" si="10"/>
        <v>10</v>
      </c>
      <c r="J47" s="75">
        <f t="shared" si="10"/>
        <v>1</v>
      </c>
      <c r="K47" s="75">
        <f t="shared" si="10"/>
        <v>30</v>
      </c>
      <c r="L47" s="75">
        <f t="shared" si="10"/>
        <v>18</v>
      </c>
      <c r="M47" s="75"/>
      <c r="N47" s="75"/>
      <c r="O47" s="75"/>
      <c r="P47" s="49">
        <f>SUM(P8:P46)</f>
        <v>33187.1</v>
      </c>
      <c r="Q47" s="49">
        <f aca="true" t="shared" si="11" ref="Q47:X47">SUM(Q8:Q46)</f>
        <v>124.80000000000001</v>
      </c>
      <c r="R47" s="49">
        <f t="shared" si="11"/>
        <v>77.1</v>
      </c>
      <c r="S47" s="49">
        <f t="shared" si="11"/>
        <v>478.69999999999993</v>
      </c>
      <c r="T47" s="49">
        <f t="shared" si="11"/>
        <v>70.9</v>
      </c>
      <c r="U47" s="49">
        <f t="shared" si="11"/>
        <v>5.3</v>
      </c>
      <c r="V47" s="49">
        <f t="shared" si="11"/>
        <v>282.9</v>
      </c>
      <c r="W47" s="49">
        <f t="shared" si="11"/>
        <v>126.9</v>
      </c>
      <c r="X47" s="49">
        <f t="shared" si="11"/>
        <v>34353.69999999999</v>
      </c>
      <c r="Y47" s="63"/>
      <c r="Z47" s="63"/>
    </row>
    <row r="48" spans="1:26" s="5" customFormat="1" ht="18" customHeight="1">
      <c r="A48" s="141"/>
      <c r="B48" s="57"/>
      <c r="C48" s="57"/>
      <c r="D48" s="57"/>
      <c r="E48" s="8">
        <f>SUM(E47:L47)</f>
        <v>4270</v>
      </c>
      <c r="F48" s="57"/>
      <c r="G48" s="57"/>
      <c r="H48" s="57"/>
      <c r="I48" s="57"/>
      <c r="J48" s="57"/>
      <c r="K48" s="57"/>
      <c r="L48" s="57"/>
      <c r="M48" s="8"/>
      <c r="N48" s="8"/>
      <c r="O48" s="8"/>
      <c r="X48" s="50">
        <f>SUM(P47:W47)</f>
        <v>34353.700000000004</v>
      </c>
      <c r="Y48" s="62"/>
      <c r="Z48" s="62"/>
    </row>
    <row r="49" spans="1:26" s="5" customFormat="1" ht="15.75">
      <c r="A49" s="9"/>
      <c r="B49" s="10"/>
      <c r="C49" s="10"/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Y49" s="62"/>
      <c r="Z49" s="62"/>
    </row>
    <row r="50" spans="1:26" s="5" customFormat="1" ht="15.75">
      <c r="A50" s="9"/>
      <c r="B50" s="10"/>
      <c r="C50" s="10"/>
      <c r="D50" s="10"/>
      <c r="E50" s="11">
        <f>E48+'Школы-основная'!E48+'Школы-средняя'!E48</f>
        <v>9386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X50" s="50"/>
      <c r="Y50" s="62"/>
      <c r="Z50" s="62"/>
    </row>
    <row r="51" spans="1:26" s="5" customFormat="1" ht="15.75">
      <c r="A51" s="9"/>
      <c r="B51" s="10"/>
      <c r="C51" s="10"/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Y51" s="62"/>
      <c r="Z51" s="62"/>
    </row>
    <row r="52" spans="1:26" s="5" customFormat="1" ht="15.75">
      <c r="A52" s="9"/>
      <c r="B52" s="10"/>
      <c r="C52" s="10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Y52" s="62"/>
      <c r="Z52" s="62"/>
    </row>
    <row r="53" spans="1:26" s="5" customFormat="1" ht="15.75">
      <c r="A53" s="9"/>
      <c r="B53" s="12"/>
      <c r="C53" s="12"/>
      <c r="D53" s="1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Y53" s="62"/>
      <c r="Z53" s="62"/>
    </row>
    <row r="54" spans="1:26" s="5" customFormat="1" ht="15.75">
      <c r="A54" s="9"/>
      <c r="B54" s="12"/>
      <c r="C54" s="12"/>
      <c r="D54" s="1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Y54" s="62"/>
      <c r="Z54" s="62"/>
    </row>
    <row r="55" spans="1:26" s="5" customFormat="1" ht="16.5" customHeight="1">
      <c r="A55" s="9"/>
      <c r="B55" s="10"/>
      <c r="C55" s="10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Y55" s="62"/>
      <c r="Z55" s="62"/>
    </row>
    <row r="56" spans="1:26" s="5" customFormat="1" ht="15.75">
      <c r="A56" s="9"/>
      <c r="B56" s="10"/>
      <c r="C56" s="10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Y56" s="62"/>
      <c r="Z56" s="62"/>
    </row>
    <row r="57" spans="1:26" s="5" customFormat="1" ht="15.75">
      <c r="A57" s="9"/>
      <c r="B57" s="10"/>
      <c r="C57" s="10"/>
      <c r="D57" s="1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Y57" s="62"/>
      <c r="Z57" s="62"/>
    </row>
    <row r="58" spans="1:26" s="5" customFormat="1" ht="15.75">
      <c r="A58" s="9"/>
      <c r="B58" s="10"/>
      <c r="C58" s="10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Y58" s="62"/>
      <c r="Z58" s="62"/>
    </row>
    <row r="59" spans="1:26" s="5" customFormat="1" ht="15.75">
      <c r="A59" s="9"/>
      <c r="B59" s="10"/>
      <c r="C59" s="10"/>
      <c r="D59" s="10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Y59" s="62"/>
      <c r="Z59" s="62"/>
    </row>
    <row r="60" spans="1:26" s="5" customFormat="1" ht="15.75">
      <c r="A60" s="9"/>
      <c r="B60" s="10"/>
      <c r="C60" s="10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Y60" s="62"/>
      <c r="Z60" s="62"/>
    </row>
    <row r="61" spans="1:26" s="5" customFormat="1" ht="15.75">
      <c r="A61" s="9"/>
      <c r="B61" s="13"/>
      <c r="C61" s="13"/>
      <c r="D61" s="13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Y61" s="62"/>
      <c r="Z61" s="62"/>
    </row>
    <row r="62" spans="1:26" s="15" customFormat="1" ht="16.5" customHeight="1">
      <c r="A62" s="239"/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124"/>
      <c r="N62" s="124"/>
      <c r="O62" s="206"/>
      <c r="Y62" s="64"/>
      <c r="Z62" s="64"/>
    </row>
    <row r="63" spans="1:15" ht="15.75">
      <c r="A63" s="9"/>
      <c r="B63" s="12"/>
      <c r="C63" s="12"/>
      <c r="D63" s="1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5.75">
      <c r="A64" s="9"/>
      <c r="B64" s="12"/>
      <c r="C64" s="12"/>
      <c r="D64" s="1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5.75">
      <c r="A65" s="9"/>
      <c r="B65" s="12"/>
      <c r="C65" s="12"/>
      <c r="D65" s="1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5.75">
      <c r="A66" s="9"/>
      <c r="B66" s="12"/>
      <c r="C66" s="12"/>
      <c r="D66" s="1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8" customHeight="1">
      <c r="A67" s="9"/>
      <c r="B67" s="12"/>
      <c r="C67" s="12"/>
      <c r="D67" s="1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5.75">
      <c r="A68" s="9"/>
      <c r="B68" s="12"/>
      <c r="C68" s="12"/>
      <c r="D68" s="1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5.75">
      <c r="A69" s="9"/>
      <c r="B69" s="12"/>
      <c r="C69" s="12"/>
      <c r="D69" s="1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5.75">
      <c r="A70" s="9"/>
      <c r="B70" s="12"/>
      <c r="C70" s="12"/>
      <c r="D70" s="1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.75">
      <c r="A71" s="9"/>
      <c r="B71" s="12"/>
      <c r="C71" s="12"/>
      <c r="D71" s="1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5.75">
      <c r="A72" s="9"/>
      <c r="B72" s="12"/>
      <c r="C72" s="12"/>
      <c r="D72" s="12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5.75">
      <c r="A73" s="9"/>
      <c r="B73" s="10"/>
      <c r="C73" s="10"/>
      <c r="D73" s="10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5.75">
      <c r="A74" s="9"/>
      <c r="B74" s="10"/>
      <c r="C74" s="10"/>
      <c r="D74" s="10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5.75">
      <c r="A75" s="9"/>
      <c r="B75" s="10"/>
      <c r="C75" s="10"/>
      <c r="D75" s="10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5.75">
      <c r="A76" s="9"/>
      <c r="B76" s="10"/>
      <c r="C76" s="10"/>
      <c r="D76" s="10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5.75">
      <c r="A77" s="9"/>
      <c r="B77" s="10"/>
      <c r="C77" s="10"/>
      <c r="D77" s="10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5.75">
      <c r="A78" s="9"/>
      <c r="B78" s="10"/>
      <c r="C78" s="10"/>
      <c r="D78" s="10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5.75">
      <c r="A79" s="9"/>
      <c r="B79" s="10"/>
      <c r="C79" s="10"/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5.75">
      <c r="A80" s="9"/>
      <c r="B80" s="10"/>
      <c r="C80" s="10"/>
      <c r="D80" s="10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5.75">
      <c r="A81" s="9"/>
      <c r="B81" s="10"/>
      <c r="C81" s="10"/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5.75">
      <c r="A82" s="9"/>
      <c r="B82" s="10"/>
      <c r="C82" s="10"/>
      <c r="D82" s="10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5.75">
      <c r="A83" s="9"/>
      <c r="B83" s="10"/>
      <c r="C83" s="10"/>
      <c r="D83" s="10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5.75">
      <c r="A84" s="9"/>
      <c r="B84" s="10"/>
      <c r="C84" s="10"/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5.75">
      <c r="A85" s="9"/>
      <c r="B85" s="10"/>
      <c r="C85" s="10"/>
      <c r="D85" s="10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5.75">
      <c r="A86" s="9"/>
      <c r="B86" s="10"/>
      <c r="C86" s="10"/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5.75">
      <c r="A87" s="9"/>
      <c r="B87" s="10"/>
      <c r="C87" s="10"/>
      <c r="D87" s="10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.75">
      <c r="A88" s="9"/>
      <c r="B88" s="10"/>
      <c r="C88" s="10"/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5.75">
      <c r="A89" s="9"/>
      <c r="B89" s="10"/>
      <c r="C89" s="10"/>
      <c r="D89" s="10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5.75">
      <c r="A90" s="9"/>
      <c r="B90" s="10"/>
      <c r="C90" s="10"/>
      <c r="D90" s="10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5.75">
      <c r="A91" s="9"/>
      <c r="B91" s="10"/>
      <c r="C91" s="10"/>
      <c r="D91" s="10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5.75">
      <c r="A92" s="9"/>
      <c r="B92" s="10"/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5.75">
      <c r="A93" s="9"/>
      <c r="B93" s="10"/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5.75">
      <c r="A94" s="9"/>
      <c r="B94" s="10"/>
      <c r="C94" s="10"/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5.75">
      <c r="A95" s="9"/>
      <c r="B95" s="10"/>
      <c r="C95" s="10"/>
      <c r="D95" s="10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5.75">
      <c r="A96" s="9"/>
      <c r="B96" s="10"/>
      <c r="C96" s="10"/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5.75">
      <c r="A97" s="9"/>
      <c r="B97" s="10"/>
      <c r="C97" s="10"/>
      <c r="D97" s="10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5.75">
      <c r="A98" s="9"/>
      <c r="B98" s="10"/>
      <c r="C98" s="10"/>
      <c r="D98" s="10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5.75">
      <c r="A99" s="9"/>
      <c r="B99" s="10"/>
      <c r="C99" s="10"/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5.75">
      <c r="A100" s="9"/>
      <c r="B100" s="10"/>
      <c r="C100" s="10"/>
      <c r="D100" s="10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5.75">
      <c r="A101" s="9"/>
      <c r="B101" s="10"/>
      <c r="C101" s="10"/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5.75">
      <c r="A102" s="9"/>
      <c r="B102" s="10"/>
      <c r="C102" s="10"/>
      <c r="D102" s="10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5.75">
      <c r="A103" s="9"/>
      <c r="B103" s="10"/>
      <c r="C103" s="10"/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5.75">
      <c r="A104" s="9"/>
      <c r="B104" s="10"/>
      <c r="C104" s="10"/>
      <c r="D104" s="10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ht="15.75">
      <c r="A105" s="9"/>
      <c r="B105" s="10"/>
      <c r="C105" s="10"/>
      <c r="D105" s="10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5.75">
      <c r="A106" s="9"/>
      <c r="B106" s="10"/>
      <c r="C106" s="10"/>
      <c r="D106" s="10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ht="15.75">
      <c r="A107" s="17"/>
      <c r="B107" s="18"/>
      <c r="C107" s="18"/>
      <c r="D107" s="18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1:15" ht="18.75">
      <c r="A108" s="19"/>
      <c r="B108" s="19"/>
      <c r="C108" s="19"/>
      <c r="D108" s="19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</row>
    <row r="109" spans="1:15" ht="15.75">
      <c r="A109" s="17"/>
      <c r="B109" s="17"/>
      <c r="C109" s="17"/>
      <c r="D109" s="17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</sheetData>
  <sheetProtection/>
  <mergeCells count="19">
    <mergeCell ref="A1:L1"/>
    <mergeCell ref="E4:L4"/>
    <mergeCell ref="A3:A7"/>
    <mergeCell ref="C3:C7"/>
    <mergeCell ref="M3:M7"/>
    <mergeCell ref="N3:N7"/>
    <mergeCell ref="P3:X4"/>
    <mergeCell ref="E3:L3"/>
    <mergeCell ref="D3:D7"/>
    <mergeCell ref="P1:R1"/>
    <mergeCell ref="Y5:Y7"/>
    <mergeCell ref="B6:B7"/>
    <mergeCell ref="B3:B5"/>
    <mergeCell ref="A62:L62"/>
    <mergeCell ref="X5:X7"/>
    <mergeCell ref="P5:W5"/>
    <mergeCell ref="Y4:Z4"/>
    <mergeCell ref="Z5:Z7"/>
    <mergeCell ref="O3:O7"/>
  </mergeCells>
  <printOptions horizontalCentered="1"/>
  <pageMargins left="0" right="0" top="0" bottom="0" header="0" footer="0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9"/>
  <sheetViews>
    <sheetView view="pageBreakPreview" zoomScale="71" zoomScaleNormal="74" zoomScaleSheetLayoutView="71" zoomScalePageLayoutView="0" workbookViewId="0" topLeftCell="A1">
      <pane xSplit="2" ySplit="7" topLeftCell="T3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55" sqref="A55"/>
    </sheetView>
  </sheetViews>
  <sheetFormatPr defaultColWidth="9.140625" defaultRowHeight="12.75"/>
  <cols>
    <col min="1" max="1" width="9.00390625" style="3" customWidth="1"/>
    <col min="2" max="2" width="24.00390625" style="3" customWidth="1"/>
    <col min="3" max="3" width="11.140625" style="3" customWidth="1"/>
    <col min="4" max="4" width="15.7109375" style="3" customWidth="1"/>
    <col min="5" max="5" width="18.421875" style="4" customWidth="1"/>
    <col min="6" max="6" width="17.28125" style="4" customWidth="1"/>
    <col min="7" max="7" width="15.421875" style="4" customWidth="1"/>
    <col min="8" max="8" width="17.00390625" style="4" customWidth="1"/>
    <col min="9" max="9" width="16.28125" style="4" customWidth="1"/>
    <col min="10" max="10" width="15.00390625" style="4" customWidth="1"/>
    <col min="11" max="11" width="16.7109375" style="4" customWidth="1"/>
    <col min="12" max="12" width="15.7109375" style="4" customWidth="1"/>
    <col min="13" max="13" width="15.421875" style="4" customWidth="1"/>
    <col min="14" max="16" width="29.7109375" style="4" customWidth="1"/>
    <col min="17" max="17" width="15.140625" style="16" customWidth="1"/>
    <col min="18" max="18" width="15.8515625" style="16" customWidth="1"/>
    <col min="19" max="19" width="14.28125" style="16" customWidth="1"/>
    <col min="20" max="20" width="13.57421875" style="16" customWidth="1"/>
    <col min="21" max="21" width="12.140625" style="16" customWidth="1"/>
    <col min="22" max="22" width="15.7109375" style="16" customWidth="1"/>
    <col min="23" max="23" width="15.140625" style="16" customWidth="1"/>
    <col min="24" max="24" width="13.57421875" style="16" customWidth="1"/>
    <col min="25" max="25" width="13.7109375" style="16" customWidth="1"/>
    <col min="26" max="26" width="20.140625" style="16" customWidth="1"/>
    <col min="27" max="27" width="15.57421875" style="65" customWidth="1"/>
    <col min="28" max="28" width="18.8515625" style="65" customWidth="1"/>
    <col min="29" max="16384" width="9.140625" style="16" customWidth="1"/>
  </cols>
  <sheetData>
    <row r="1" spans="1:28" s="5" customFormat="1" ht="18.75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121"/>
      <c r="O1" s="207" t="s">
        <v>80</v>
      </c>
      <c r="P1" s="220"/>
      <c r="Q1" s="220"/>
      <c r="AA1" s="62"/>
      <c r="AB1" s="62"/>
    </row>
    <row r="2" spans="1:28" s="5" customFormat="1" ht="15.7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AA2" s="62"/>
      <c r="AB2" s="62"/>
    </row>
    <row r="3" spans="1:28" s="81" customFormat="1" ht="25.5" customHeight="1">
      <c r="A3" s="244" t="s">
        <v>75</v>
      </c>
      <c r="B3" s="237" t="s">
        <v>71</v>
      </c>
      <c r="C3" s="237" t="s">
        <v>72</v>
      </c>
      <c r="D3" s="254" t="s">
        <v>79</v>
      </c>
      <c r="E3" s="253" t="s">
        <v>73</v>
      </c>
      <c r="F3" s="253"/>
      <c r="G3" s="253"/>
      <c r="H3" s="253"/>
      <c r="I3" s="253"/>
      <c r="J3" s="253"/>
      <c r="K3" s="253"/>
      <c r="L3" s="253"/>
      <c r="M3" s="253"/>
      <c r="N3" s="243" t="s">
        <v>77</v>
      </c>
      <c r="O3" s="243" t="s">
        <v>78</v>
      </c>
      <c r="P3" s="243" t="s">
        <v>91</v>
      </c>
      <c r="Q3" s="247" t="s">
        <v>86</v>
      </c>
      <c r="R3" s="248"/>
      <c r="S3" s="248"/>
      <c r="T3" s="248"/>
      <c r="U3" s="248"/>
      <c r="V3" s="248"/>
      <c r="W3" s="248"/>
      <c r="X3" s="248"/>
      <c r="Y3" s="248"/>
      <c r="Z3" s="249"/>
      <c r="AA3" s="80"/>
      <c r="AB3" s="80"/>
    </row>
    <row r="4" spans="1:28" s="81" customFormat="1" ht="36" customHeight="1">
      <c r="A4" s="245"/>
      <c r="B4" s="238"/>
      <c r="C4" s="238"/>
      <c r="D4" s="255"/>
      <c r="E4" s="258" t="s">
        <v>39</v>
      </c>
      <c r="F4" s="259"/>
      <c r="G4" s="259"/>
      <c r="H4" s="259"/>
      <c r="I4" s="259"/>
      <c r="J4" s="259"/>
      <c r="K4" s="259"/>
      <c r="L4" s="259"/>
      <c r="M4" s="260"/>
      <c r="N4" s="243"/>
      <c r="O4" s="243"/>
      <c r="P4" s="243"/>
      <c r="Q4" s="250"/>
      <c r="R4" s="251"/>
      <c r="S4" s="251"/>
      <c r="T4" s="251"/>
      <c r="U4" s="251"/>
      <c r="V4" s="251"/>
      <c r="W4" s="251"/>
      <c r="X4" s="251"/>
      <c r="Y4" s="251"/>
      <c r="Z4" s="252"/>
      <c r="AA4" s="235"/>
      <c r="AB4" s="235"/>
    </row>
    <row r="5" spans="1:28" s="81" customFormat="1" ht="75" customHeight="1">
      <c r="A5" s="245"/>
      <c r="B5" s="238"/>
      <c r="C5" s="238"/>
      <c r="D5" s="255"/>
      <c r="E5" s="126" t="s">
        <v>53</v>
      </c>
      <c r="F5" s="126" t="s">
        <v>53</v>
      </c>
      <c r="G5" s="126" t="s">
        <v>53</v>
      </c>
      <c r="H5" s="126" t="s">
        <v>41</v>
      </c>
      <c r="I5" s="126" t="s">
        <v>41</v>
      </c>
      <c r="J5" s="126" t="s">
        <v>53</v>
      </c>
      <c r="K5" s="126" t="s">
        <v>53</v>
      </c>
      <c r="L5" s="126" t="s">
        <v>41</v>
      </c>
      <c r="M5" s="126" t="s">
        <v>41</v>
      </c>
      <c r="N5" s="243"/>
      <c r="O5" s="243"/>
      <c r="P5" s="243"/>
      <c r="Q5" s="253" t="s">
        <v>39</v>
      </c>
      <c r="R5" s="253"/>
      <c r="S5" s="253"/>
      <c r="T5" s="253"/>
      <c r="U5" s="253"/>
      <c r="V5" s="253"/>
      <c r="W5" s="253"/>
      <c r="X5" s="253"/>
      <c r="Y5" s="253"/>
      <c r="Z5" s="236" t="s">
        <v>86</v>
      </c>
      <c r="AA5" s="235"/>
      <c r="AB5" s="235"/>
    </row>
    <row r="6" spans="1:28" s="81" customFormat="1" ht="83.25" customHeight="1">
      <c r="A6" s="245"/>
      <c r="B6" s="236" t="s">
        <v>70</v>
      </c>
      <c r="C6" s="238"/>
      <c r="D6" s="255"/>
      <c r="E6" s="126" t="s">
        <v>43</v>
      </c>
      <c r="F6" s="126" t="s">
        <v>42</v>
      </c>
      <c r="G6" s="126" t="s">
        <v>44</v>
      </c>
      <c r="H6" s="126" t="s">
        <v>42</v>
      </c>
      <c r="I6" s="126" t="s">
        <v>44</v>
      </c>
      <c r="J6" s="126" t="s">
        <v>58</v>
      </c>
      <c r="K6" s="126" t="s">
        <v>56</v>
      </c>
      <c r="L6" s="126" t="s">
        <v>58</v>
      </c>
      <c r="M6" s="126" t="s">
        <v>56</v>
      </c>
      <c r="N6" s="243"/>
      <c r="O6" s="243"/>
      <c r="P6" s="243"/>
      <c r="Q6" s="128" t="s">
        <v>53</v>
      </c>
      <c r="R6" s="128" t="s">
        <v>53</v>
      </c>
      <c r="S6" s="128" t="s">
        <v>53</v>
      </c>
      <c r="T6" s="128" t="s">
        <v>41</v>
      </c>
      <c r="U6" s="128" t="s">
        <v>41</v>
      </c>
      <c r="V6" s="128" t="s">
        <v>53</v>
      </c>
      <c r="W6" s="128" t="s">
        <v>53</v>
      </c>
      <c r="X6" s="128" t="s">
        <v>41</v>
      </c>
      <c r="Y6" s="128" t="s">
        <v>41</v>
      </c>
      <c r="Z6" s="236"/>
      <c r="AA6" s="235"/>
      <c r="AB6" s="235"/>
    </row>
    <row r="7" spans="1:28" s="81" customFormat="1" ht="94.5" customHeight="1">
      <c r="A7" s="246"/>
      <c r="B7" s="236"/>
      <c r="C7" s="240"/>
      <c r="D7" s="256"/>
      <c r="E7" s="126" t="s">
        <v>69</v>
      </c>
      <c r="F7" s="126" t="s">
        <v>69</v>
      </c>
      <c r="G7" s="126" t="s">
        <v>69</v>
      </c>
      <c r="H7" s="126" t="s">
        <v>69</v>
      </c>
      <c r="I7" s="126" t="s">
        <v>69</v>
      </c>
      <c r="J7" s="126" t="s">
        <v>69</v>
      </c>
      <c r="K7" s="126" t="s">
        <v>69</v>
      </c>
      <c r="L7" s="126" t="s">
        <v>69</v>
      </c>
      <c r="M7" s="126" t="s">
        <v>69</v>
      </c>
      <c r="N7" s="243"/>
      <c r="O7" s="243"/>
      <c r="P7" s="243"/>
      <c r="Q7" s="128" t="s">
        <v>43</v>
      </c>
      <c r="R7" s="128" t="s">
        <v>42</v>
      </c>
      <c r="S7" s="128" t="s">
        <v>44</v>
      </c>
      <c r="T7" s="128" t="s">
        <v>42</v>
      </c>
      <c r="U7" s="128" t="s">
        <v>44</v>
      </c>
      <c r="V7" s="128" t="s">
        <v>58</v>
      </c>
      <c r="W7" s="128" t="s">
        <v>56</v>
      </c>
      <c r="X7" s="128" t="s">
        <v>58</v>
      </c>
      <c r="Y7" s="128" t="s">
        <v>56</v>
      </c>
      <c r="Z7" s="236"/>
      <c r="AA7" s="235"/>
      <c r="AB7" s="235"/>
    </row>
    <row r="8" spans="1:28" s="37" customFormat="1" ht="15.75">
      <c r="A8" s="40">
        <v>1</v>
      </c>
      <c r="B8" s="41" t="s">
        <v>0</v>
      </c>
      <c r="C8" s="77">
        <v>5</v>
      </c>
      <c r="D8" s="91">
        <v>6226</v>
      </c>
      <c r="E8" s="131">
        <v>185</v>
      </c>
      <c r="F8" s="36"/>
      <c r="G8" s="36"/>
      <c r="H8" s="36"/>
      <c r="I8" s="36">
        <v>6</v>
      </c>
      <c r="J8" s="36">
        <v>3</v>
      </c>
      <c r="K8" s="36"/>
      <c r="L8" s="36"/>
      <c r="M8" s="36">
        <v>1</v>
      </c>
      <c r="N8" s="93">
        <v>3347</v>
      </c>
      <c r="O8" s="79">
        <f>ROUND(D8/N8,3)</f>
        <v>1.86</v>
      </c>
      <c r="P8" s="217">
        <v>1.03</v>
      </c>
      <c r="Q8" s="49">
        <f>ROUND(E8*N8*O8*P8/1000*8/12,1)</f>
        <v>790.8</v>
      </c>
      <c r="R8" s="49">
        <f>ROUND(F8*N8*O8/1000*8*P8/12,1)</f>
        <v>0</v>
      </c>
      <c r="S8" s="49">
        <f>ROUND(G8/1000*O8*N8*8*P8/12,1)</f>
        <v>0</v>
      </c>
      <c r="T8" s="49">
        <f>ROUND(H8*N8*O8/1000*8*P8/12,1)</f>
        <v>0</v>
      </c>
      <c r="U8" s="49">
        <f>ROUND(I8*N8*O8/1000*8*P8/12,1)</f>
        <v>25.6</v>
      </c>
      <c r="V8" s="49">
        <f>ROUND(J8*N8*O8/1000*8*P8/12,1)</f>
        <v>12.8</v>
      </c>
      <c r="W8" s="49">
        <f>ROUND(K8*N8*O8/1000*8*P8/12,1)</f>
        <v>0</v>
      </c>
      <c r="X8" s="49">
        <f>ROUND(L8*N8*O8/1000*8*P8/12,1)</f>
        <v>0</v>
      </c>
      <c r="Y8" s="49">
        <f>ROUND(M8*N8*O8/1000*8*P8/12,1)</f>
        <v>4.3</v>
      </c>
      <c r="Z8" s="49">
        <f>SUM(Q8:Y8)</f>
        <v>833.4999999999999</v>
      </c>
      <c r="AA8" s="226"/>
      <c r="AB8" s="211"/>
    </row>
    <row r="9" spans="1:28" s="37" customFormat="1" ht="15.75">
      <c r="A9" s="31">
        <v>2</v>
      </c>
      <c r="B9" s="41" t="s">
        <v>60</v>
      </c>
      <c r="C9" s="77">
        <v>6</v>
      </c>
      <c r="D9" s="91">
        <v>5886</v>
      </c>
      <c r="E9" s="60">
        <v>383</v>
      </c>
      <c r="F9" s="33">
        <v>3</v>
      </c>
      <c r="G9" s="33"/>
      <c r="H9" s="33"/>
      <c r="I9" s="33">
        <v>2</v>
      </c>
      <c r="J9" s="33">
        <v>2</v>
      </c>
      <c r="K9" s="36"/>
      <c r="L9" s="36">
        <v>2</v>
      </c>
      <c r="M9" s="33"/>
      <c r="N9" s="93">
        <v>3347</v>
      </c>
      <c r="O9" s="79">
        <f aca="true" t="shared" si="0" ref="O9:O46">ROUND(D9/N9,3)</f>
        <v>1.759</v>
      </c>
      <c r="P9" s="217">
        <v>1.041</v>
      </c>
      <c r="Q9" s="49">
        <f aca="true" t="shared" si="1" ref="Q9:Q46">ROUND(E9*N9*O9*P9/1000*8/12,1)</f>
        <v>1564.9</v>
      </c>
      <c r="R9" s="49">
        <f aca="true" t="shared" si="2" ref="R9:R46">ROUND(F9*N9*O9/1000*8*P9/12,1)</f>
        <v>12.3</v>
      </c>
      <c r="S9" s="49">
        <f aca="true" t="shared" si="3" ref="S9:S46">ROUND(G9/1000*O9*N9*8*P9/12,1)</f>
        <v>0</v>
      </c>
      <c r="T9" s="49">
        <f aca="true" t="shared" si="4" ref="T9:T46">ROUND(H9*N9*O9/1000*8*P9/12,1)</f>
        <v>0</v>
      </c>
      <c r="U9" s="49">
        <f aca="true" t="shared" si="5" ref="U9:U46">ROUND(I9*N9*O9/1000*8*P9/12,1)</f>
        <v>8.2</v>
      </c>
      <c r="V9" s="49">
        <f aca="true" t="shared" si="6" ref="V9:V46">ROUND(J9*N9*O9/1000*8*P9/12,1)</f>
        <v>8.2</v>
      </c>
      <c r="W9" s="49">
        <f aca="true" t="shared" si="7" ref="W9:W46">ROUND(K9*N9*O9/1000*8*P9/12,1)</f>
        <v>0</v>
      </c>
      <c r="X9" s="49">
        <f aca="true" t="shared" si="8" ref="X9:X46">ROUND(L9*N9*O9/1000*8*P9/12,1)</f>
        <v>8.2</v>
      </c>
      <c r="Y9" s="49">
        <f aca="true" t="shared" si="9" ref="Y9:Y46">ROUND(M9*N9*O9/1000*8*P9/12,1)</f>
        <v>0</v>
      </c>
      <c r="Z9" s="49">
        <f aca="true" t="shared" si="10" ref="Z9:Z46">SUM(Q9:Y9)</f>
        <v>1601.8000000000002</v>
      </c>
      <c r="AA9" s="226"/>
      <c r="AB9" s="211"/>
    </row>
    <row r="10" spans="1:28" s="37" customFormat="1" ht="15.75">
      <c r="A10" s="40">
        <v>3</v>
      </c>
      <c r="B10" s="41" t="s">
        <v>1</v>
      </c>
      <c r="C10" s="77">
        <v>6</v>
      </c>
      <c r="D10" s="91">
        <v>3347</v>
      </c>
      <c r="E10" s="60">
        <v>318</v>
      </c>
      <c r="F10" s="33"/>
      <c r="G10" s="33">
        <v>5</v>
      </c>
      <c r="H10" s="33"/>
      <c r="I10" s="33"/>
      <c r="J10" s="33"/>
      <c r="K10" s="36">
        <v>4</v>
      </c>
      <c r="L10" s="33"/>
      <c r="M10" s="33">
        <v>2</v>
      </c>
      <c r="N10" s="93">
        <v>3347</v>
      </c>
      <c r="O10" s="79">
        <f t="shared" si="0"/>
        <v>1</v>
      </c>
      <c r="P10" s="217">
        <v>1.035</v>
      </c>
      <c r="Q10" s="49">
        <f t="shared" si="1"/>
        <v>734.4</v>
      </c>
      <c r="R10" s="49">
        <f t="shared" si="2"/>
        <v>0</v>
      </c>
      <c r="S10" s="49">
        <f t="shared" si="3"/>
        <v>11.5</v>
      </c>
      <c r="T10" s="49">
        <f t="shared" si="4"/>
        <v>0</v>
      </c>
      <c r="U10" s="49">
        <f t="shared" si="5"/>
        <v>0</v>
      </c>
      <c r="V10" s="49">
        <f t="shared" si="6"/>
        <v>0</v>
      </c>
      <c r="W10" s="49">
        <f t="shared" si="7"/>
        <v>9.2</v>
      </c>
      <c r="X10" s="49">
        <f t="shared" si="8"/>
        <v>0</v>
      </c>
      <c r="Y10" s="49">
        <f t="shared" si="9"/>
        <v>4.6</v>
      </c>
      <c r="Z10" s="49">
        <f t="shared" si="10"/>
        <v>759.7</v>
      </c>
      <c r="AA10" s="226"/>
      <c r="AB10" s="211"/>
    </row>
    <row r="11" spans="1:28" s="37" customFormat="1" ht="15.75">
      <c r="A11" s="31">
        <v>4</v>
      </c>
      <c r="B11" s="41" t="s">
        <v>2</v>
      </c>
      <c r="C11" s="77">
        <v>5</v>
      </c>
      <c r="D11" s="91">
        <v>7575</v>
      </c>
      <c r="E11" s="132">
        <v>213</v>
      </c>
      <c r="F11" s="66">
        <v>2</v>
      </c>
      <c r="G11" s="66"/>
      <c r="H11" s="66"/>
      <c r="I11" s="66"/>
      <c r="J11" s="66">
        <v>2</v>
      </c>
      <c r="K11" s="145"/>
      <c r="L11" s="66"/>
      <c r="M11" s="66">
        <v>4</v>
      </c>
      <c r="N11" s="93">
        <v>3347</v>
      </c>
      <c r="O11" s="79">
        <f t="shared" si="0"/>
        <v>2.263</v>
      </c>
      <c r="P11" s="217">
        <v>1.051</v>
      </c>
      <c r="Q11" s="49">
        <f t="shared" si="1"/>
        <v>1130.4</v>
      </c>
      <c r="R11" s="49">
        <f t="shared" si="2"/>
        <v>10.6</v>
      </c>
      <c r="S11" s="49">
        <f t="shared" si="3"/>
        <v>0</v>
      </c>
      <c r="T11" s="49">
        <f t="shared" si="4"/>
        <v>0</v>
      </c>
      <c r="U11" s="49">
        <f t="shared" si="5"/>
        <v>0</v>
      </c>
      <c r="V11" s="49">
        <f t="shared" si="6"/>
        <v>10.6</v>
      </c>
      <c r="W11" s="49">
        <f t="shared" si="7"/>
        <v>0</v>
      </c>
      <c r="X11" s="49">
        <f t="shared" si="8"/>
        <v>0</v>
      </c>
      <c r="Y11" s="49">
        <f t="shared" si="9"/>
        <v>21.2</v>
      </c>
      <c r="Z11" s="49">
        <f t="shared" si="10"/>
        <v>1172.8</v>
      </c>
      <c r="AA11" s="226"/>
      <c r="AB11" s="211"/>
    </row>
    <row r="12" spans="1:28" s="37" customFormat="1" ht="15.75">
      <c r="A12" s="40">
        <v>5</v>
      </c>
      <c r="B12" s="41" t="s">
        <v>59</v>
      </c>
      <c r="C12" s="77">
        <v>5</v>
      </c>
      <c r="D12" s="91">
        <v>7467</v>
      </c>
      <c r="E12" s="33"/>
      <c r="F12" s="33"/>
      <c r="G12" s="33"/>
      <c r="H12" s="33"/>
      <c r="I12" s="33"/>
      <c r="J12" s="33"/>
      <c r="K12" s="33"/>
      <c r="L12" s="33"/>
      <c r="M12" s="33"/>
      <c r="N12" s="93">
        <v>3347</v>
      </c>
      <c r="O12" s="79">
        <f t="shared" si="0"/>
        <v>2.231</v>
      </c>
      <c r="P12" s="217">
        <v>1.07</v>
      </c>
      <c r="Q12" s="49">
        <f t="shared" si="1"/>
        <v>0</v>
      </c>
      <c r="R12" s="49">
        <f t="shared" si="2"/>
        <v>0</v>
      </c>
      <c r="S12" s="49">
        <f t="shared" si="3"/>
        <v>0</v>
      </c>
      <c r="T12" s="49">
        <f t="shared" si="4"/>
        <v>0</v>
      </c>
      <c r="U12" s="49">
        <f t="shared" si="5"/>
        <v>0</v>
      </c>
      <c r="V12" s="49">
        <f t="shared" si="6"/>
        <v>0</v>
      </c>
      <c r="W12" s="49">
        <f t="shared" si="7"/>
        <v>0</v>
      </c>
      <c r="X12" s="49">
        <f t="shared" si="8"/>
        <v>0</v>
      </c>
      <c r="Y12" s="49">
        <f t="shared" si="9"/>
        <v>0</v>
      </c>
      <c r="Z12" s="49">
        <f t="shared" si="10"/>
        <v>0</v>
      </c>
      <c r="AA12" s="226"/>
      <c r="AB12" s="211"/>
    </row>
    <row r="13" spans="1:28" s="37" customFormat="1" ht="15.75">
      <c r="A13" s="31">
        <v>6</v>
      </c>
      <c r="B13" s="41" t="s">
        <v>3</v>
      </c>
      <c r="C13" s="77">
        <v>5</v>
      </c>
      <c r="D13" s="91">
        <v>4342</v>
      </c>
      <c r="E13" s="60">
        <v>282</v>
      </c>
      <c r="F13" s="33">
        <v>1</v>
      </c>
      <c r="G13" s="33"/>
      <c r="H13" s="33">
        <v>1</v>
      </c>
      <c r="I13" s="33">
        <v>6</v>
      </c>
      <c r="J13" s="33"/>
      <c r="K13" s="33"/>
      <c r="L13" s="33">
        <v>2</v>
      </c>
      <c r="M13" s="33"/>
      <c r="N13" s="93">
        <v>3347</v>
      </c>
      <c r="O13" s="79">
        <f t="shared" si="0"/>
        <v>1.297</v>
      </c>
      <c r="P13" s="217">
        <v>1.034</v>
      </c>
      <c r="Q13" s="49">
        <f t="shared" si="1"/>
        <v>843.9</v>
      </c>
      <c r="R13" s="49">
        <f t="shared" si="2"/>
        <v>3</v>
      </c>
      <c r="S13" s="49">
        <f t="shared" si="3"/>
        <v>0</v>
      </c>
      <c r="T13" s="49">
        <f t="shared" si="4"/>
        <v>3</v>
      </c>
      <c r="U13" s="49">
        <f t="shared" si="5"/>
        <v>18</v>
      </c>
      <c r="V13" s="49">
        <f t="shared" si="6"/>
        <v>0</v>
      </c>
      <c r="W13" s="49">
        <f t="shared" si="7"/>
        <v>0</v>
      </c>
      <c r="X13" s="49">
        <f t="shared" si="8"/>
        <v>6</v>
      </c>
      <c r="Y13" s="49">
        <f t="shared" si="9"/>
        <v>0</v>
      </c>
      <c r="Z13" s="49">
        <f t="shared" si="10"/>
        <v>873.9</v>
      </c>
      <c r="AA13" s="226"/>
      <c r="AB13" s="211"/>
    </row>
    <row r="14" spans="1:28" s="37" customFormat="1" ht="15.75" customHeight="1">
      <c r="A14" s="40">
        <v>7</v>
      </c>
      <c r="B14" s="41" t="s">
        <v>4</v>
      </c>
      <c r="C14" s="77">
        <v>5</v>
      </c>
      <c r="D14" s="91">
        <v>3715</v>
      </c>
      <c r="E14" s="60">
        <v>382</v>
      </c>
      <c r="F14" s="33">
        <v>6</v>
      </c>
      <c r="G14" s="33"/>
      <c r="H14" s="33"/>
      <c r="I14" s="33">
        <v>3</v>
      </c>
      <c r="J14" s="33">
        <v>1</v>
      </c>
      <c r="K14" s="33">
        <v>2</v>
      </c>
      <c r="L14" s="33">
        <v>1</v>
      </c>
      <c r="M14" s="33"/>
      <c r="N14" s="93">
        <v>3347</v>
      </c>
      <c r="O14" s="79">
        <f t="shared" si="0"/>
        <v>1.11</v>
      </c>
      <c r="P14" s="217">
        <v>1.032</v>
      </c>
      <c r="Q14" s="49">
        <f t="shared" si="1"/>
        <v>976.4</v>
      </c>
      <c r="R14" s="49">
        <f t="shared" si="2"/>
        <v>15.3</v>
      </c>
      <c r="S14" s="49">
        <f t="shared" si="3"/>
        <v>0</v>
      </c>
      <c r="T14" s="49">
        <f t="shared" si="4"/>
        <v>0</v>
      </c>
      <c r="U14" s="49">
        <f t="shared" si="5"/>
        <v>7.7</v>
      </c>
      <c r="V14" s="49">
        <f t="shared" si="6"/>
        <v>2.6</v>
      </c>
      <c r="W14" s="49">
        <f t="shared" si="7"/>
        <v>5.1</v>
      </c>
      <c r="X14" s="49">
        <f t="shared" si="8"/>
        <v>2.6</v>
      </c>
      <c r="Y14" s="49">
        <f t="shared" si="9"/>
        <v>0</v>
      </c>
      <c r="Z14" s="49">
        <f t="shared" si="10"/>
        <v>1009.7</v>
      </c>
      <c r="AA14" s="226"/>
      <c r="AB14" s="211"/>
    </row>
    <row r="15" spans="1:28" s="37" customFormat="1" ht="15.75">
      <c r="A15" s="31">
        <v>8</v>
      </c>
      <c r="B15" s="43" t="s">
        <v>5</v>
      </c>
      <c r="C15" s="77">
        <v>5</v>
      </c>
      <c r="D15" s="91">
        <v>4494</v>
      </c>
      <c r="E15" s="60">
        <v>391</v>
      </c>
      <c r="F15" s="33">
        <v>3</v>
      </c>
      <c r="G15" s="33"/>
      <c r="H15" s="33"/>
      <c r="I15" s="33">
        <v>5</v>
      </c>
      <c r="J15" s="33"/>
      <c r="K15" s="33"/>
      <c r="L15" s="33">
        <v>1</v>
      </c>
      <c r="M15" s="33">
        <v>4</v>
      </c>
      <c r="N15" s="93">
        <v>3347</v>
      </c>
      <c r="O15" s="79">
        <f t="shared" si="0"/>
        <v>1.343</v>
      </c>
      <c r="P15" s="217">
        <v>1.02</v>
      </c>
      <c r="Q15" s="49">
        <f t="shared" si="1"/>
        <v>1195.1</v>
      </c>
      <c r="R15" s="49">
        <f t="shared" si="2"/>
        <v>9.2</v>
      </c>
      <c r="S15" s="49">
        <f t="shared" si="3"/>
        <v>0</v>
      </c>
      <c r="T15" s="49">
        <f t="shared" si="4"/>
        <v>0</v>
      </c>
      <c r="U15" s="49">
        <f t="shared" si="5"/>
        <v>15.3</v>
      </c>
      <c r="V15" s="49">
        <f t="shared" si="6"/>
        <v>0</v>
      </c>
      <c r="W15" s="49">
        <f t="shared" si="7"/>
        <v>0</v>
      </c>
      <c r="X15" s="49">
        <f t="shared" si="8"/>
        <v>3.1</v>
      </c>
      <c r="Y15" s="49">
        <f t="shared" si="9"/>
        <v>12.2</v>
      </c>
      <c r="Z15" s="49">
        <f t="shared" si="10"/>
        <v>1234.8999999999999</v>
      </c>
      <c r="AA15" s="226"/>
      <c r="AB15" s="211"/>
    </row>
    <row r="16" spans="1:28" s="37" customFormat="1" ht="15.75">
      <c r="A16" s="40">
        <v>9</v>
      </c>
      <c r="B16" s="41" t="s">
        <v>6</v>
      </c>
      <c r="C16" s="77">
        <v>5</v>
      </c>
      <c r="D16" s="91">
        <v>33330</v>
      </c>
      <c r="E16" s="60">
        <v>19</v>
      </c>
      <c r="F16" s="33"/>
      <c r="G16" s="33"/>
      <c r="H16" s="33"/>
      <c r="I16" s="33"/>
      <c r="J16" s="33"/>
      <c r="K16" s="33"/>
      <c r="L16" s="33"/>
      <c r="M16" s="33"/>
      <c r="N16" s="94">
        <v>3347</v>
      </c>
      <c r="O16" s="79">
        <f t="shared" si="0"/>
        <v>9.958</v>
      </c>
      <c r="P16" s="217">
        <v>1.064</v>
      </c>
      <c r="Q16" s="49">
        <f t="shared" si="1"/>
        <v>449.2</v>
      </c>
      <c r="R16" s="49">
        <f t="shared" si="2"/>
        <v>0</v>
      </c>
      <c r="S16" s="49">
        <f t="shared" si="3"/>
        <v>0</v>
      </c>
      <c r="T16" s="49">
        <f t="shared" si="4"/>
        <v>0</v>
      </c>
      <c r="U16" s="49">
        <f t="shared" si="5"/>
        <v>0</v>
      </c>
      <c r="V16" s="49">
        <f t="shared" si="6"/>
        <v>0</v>
      </c>
      <c r="W16" s="49">
        <f t="shared" si="7"/>
        <v>0</v>
      </c>
      <c r="X16" s="49">
        <f t="shared" si="8"/>
        <v>0</v>
      </c>
      <c r="Y16" s="49">
        <f t="shared" si="9"/>
        <v>0</v>
      </c>
      <c r="Z16" s="49">
        <f t="shared" si="10"/>
        <v>449.2</v>
      </c>
      <c r="AA16" s="226"/>
      <c r="AB16" s="211"/>
    </row>
    <row r="17" spans="1:28" s="37" customFormat="1" ht="15.75">
      <c r="A17" s="31">
        <v>10</v>
      </c>
      <c r="B17" s="32" t="s">
        <v>7</v>
      </c>
      <c r="C17" s="77">
        <v>5</v>
      </c>
      <c r="D17" s="91">
        <v>15948</v>
      </c>
      <c r="E17" s="60">
        <v>94</v>
      </c>
      <c r="F17" s="33">
        <v>1</v>
      </c>
      <c r="G17" s="33"/>
      <c r="H17" s="33"/>
      <c r="I17" s="33"/>
      <c r="J17" s="33"/>
      <c r="K17" s="33"/>
      <c r="L17" s="33">
        <v>1</v>
      </c>
      <c r="M17" s="33">
        <v>1</v>
      </c>
      <c r="N17" s="94">
        <v>3347</v>
      </c>
      <c r="O17" s="79">
        <f t="shared" si="0"/>
        <v>4.765</v>
      </c>
      <c r="P17" s="217">
        <v>1.045</v>
      </c>
      <c r="Q17" s="49">
        <f t="shared" si="1"/>
        <v>1044.4</v>
      </c>
      <c r="R17" s="49">
        <f t="shared" si="2"/>
        <v>11.1</v>
      </c>
      <c r="S17" s="49">
        <f t="shared" si="3"/>
        <v>0</v>
      </c>
      <c r="T17" s="49">
        <f t="shared" si="4"/>
        <v>0</v>
      </c>
      <c r="U17" s="49">
        <f t="shared" si="5"/>
        <v>0</v>
      </c>
      <c r="V17" s="49">
        <f t="shared" si="6"/>
        <v>0</v>
      </c>
      <c r="W17" s="49">
        <f t="shared" si="7"/>
        <v>0</v>
      </c>
      <c r="X17" s="49">
        <f t="shared" si="8"/>
        <v>11.1</v>
      </c>
      <c r="Y17" s="49">
        <f t="shared" si="9"/>
        <v>11.1</v>
      </c>
      <c r="Z17" s="49">
        <f t="shared" si="10"/>
        <v>1077.6999999999998</v>
      </c>
      <c r="AA17" s="226"/>
      <c r="AB17" s="211"/>
    </row>
    <row r="18" spans="1:28" s="37" customFormat="1" ht="15.75">
      <c r="A18" s="40">
        <v>11</v>
      </c>
      <c r="B18" s="32" t="s">
        <v>8</v>
      </c>
      <c r="C18" s="77">
        <v>5</v>
      </c>
      <c r="D18" s="91">
        <v>13154</v>
      </c>
      <c r="E18" s="60">
        <v>94</v>
      </c>
      <c r="F18" s="33"/>
      <c r="G18" s="33">
        <v>1</v>
      </c>
      <c r="H18" s="33"/>
      <c r="I18" s="33"/>
      <c r="J18" s="33"/>
      <c r="K18" s="33"/>
      <c r="L18" s="33"/>
      <c r="M18" s="33"/>
      <c r="N18" s="94">
        <v>3347</v>
      </c>
      <c r="O18" s="79">
        <f t="shared" si="0"/>
        <v>3.93</v>
      </c>
      <c r="P18" s="217">
        <v>1.057</v>
      </c>
      <c r="Q18" s="49">
        <f t="shared" si="1"/>
        <v>871.3</v>
      </c>
      <c r="R18" s="49">
        <f t="shared" si="2"/>
        <v>0</v>
      </c>
      <c r="S18" s="49">
        <f t="shared" si="3"/>
        <v>9.3</v>
      </c>
      <c r="T18" s="49">
        <f t="shared" si="4"/>
        <v>0</v>
      </c>
      <c r="U18" s="49">
        <f t="shared" si="5"/>
        <v>0</v>
      </c>
      <c r="V18" s="49">
        <f t="shared" si="6"/>
        <v>0</v>
      </c>
      <c r="W18" s="49">
        <f t="shared" si="7"/>
        <v>0</v>
      </c>
      <c r="X18" s="49">
        <f t="shared" si="8"/>
        <v>0</v>
      </c>
      <c r="Y18" s="49">
        <f t="shared" si="9"/>
        <v>0</v>
      </c>
      <c r="Z18" s="49">
        <f t="shared" si="10"/>
        <v>880.5999999999999</v>
      </c>
      <c r="AA18" s="226"/>
      <c r="AB18" s="211"/>
    </row>
    <row r="19" spans="1:28" s="37" customFormat="1" ht="15.75">
      <c r="A19" s="31">
        <v>12</v>
      </c>
      <c r="B19" s="32" t="s">
        <v>9</v>
      </c>
      <c r="C19" s="77">
        <v>5</v>
      </c>
      <c r="D19" s="91">
        <v>15608</v>
      </c>
      <c r="E19" s="60">
        <v>109</v>
      </c>
      <c r="F19" s="33"/>
      <c r="G19" s="33">
        <v>1</v>
      </c>
      <c r="H19" s="33"/>
      <c r="I19" s="33"/>
      <c r="J19" s="33"/>
      <c r="K19" s="33"/>
      <c r="L19" s="33">
        <v>4</v>
      </c>
      <c r="M19" s="33"/>
      <c r="N19" s="94">
        <v>3347</v>
      </c>
      <c r="O19" s="79">
        <f t="shared" si="0"/>
        <v>4.663</v>
      </c>
      <c r="P19" s="217">
        <v>1.054</v>
      </c>
      <c r="Q19" s="49">
        <f t="shared" si="1"/>
        <v>1195.4</v>
      </c>
      <c r="R19" s="49">
        <f t="shared" si="2"/>
        <v>0</v>
      </c>
      <c r="S19" s="49">
        <f t="shared" si="3"/>
        <v>11</v>
      </c>
      <c r="T19" s="49">
        <f t="shared" si="4"/>
        <v>0</v>
      </c>
      <c r="U19" s="49">
        <f t="shared" si="5"/>
        <v>0</v>
      </c>
      <c r="V19" s="49">
        <f t="shared" si="6"/>
        <v>0</v>
      </c>
      <c r="W19" s="49">
        <f t="shared" si="7"/>
        <v>0</v>
      </c>
      <c r="X19" s="49">
        <f t="shared" si="8"/>
        <v>43.9</v>
      </c>
      <c r="Y19" s="49">
        <f t="shared" si="9"/>
        <v>0</v>
      </c>
      <c r="Z19" s="49">
        <f t="shared" si="10"/>
        <v>1250.3000000000002</v>
      </c>
      <c r="AA19" s="226"/>
      <c r="AB19" s="211"/>
    </row>
    <row r="20" spans="1:28" s="37" customFormat="1" ht="15.75">
      <c r="A20" s="40">
        <v>13</v>
      </c>
      <c r="B20" s="32" t="s">
        <v>10</v>
      </c>
      <c r="C20" s="77">
        <v>5</v>
      </c>
      <c r="D20" s="91">
        <v>7136</v>
      </c>
      <c r="E20" s="60">
        <v>287</v>
      </c>
      <c r="F20" s="33">
        <v>1</v>
      </c>
      <c r="G20" s="33"/>
      <c r="H20" s="33"/>
      <c r="I20" s="33"/>
      <c r="J20" s="33"/>
      <c r="K20" s="33"/>
      <c r="L20" s="33"/>
      <c r="M20" s="33"/>
      <c r="N20" s="94">
        <v>3347</v>
      </c>
      <c r="O20" s="79">
        <f t="shared" si="0"/>
        <v>2.132</v>
      </c>
      <c r="P20" s="217">
        <v>1.033</v>
      </c>
      <c r="Q20" s="49">
        <f t="shared" si="1"/>
        <v>1410.4</v>
      </c>
      <c r="R20" s="49">
        <f t="shared" si="2"/>
        <v>4.9</v>
      </c>
      <c r="S20" s="49">
        <f t="shared" si="3"/>
        <v>0</v>
      </c>
      <c r="T20" s="49">
        <f t="shared" si="4"/>
        <v>0</v>
      </c>
      <c r="U20" s="49">
        <f t="shared" si="5"/>
        <v>0</v>
      </c>
      <c r="V20" s="49">
        <f t="shared" si="6"/>
        <v>0</v>
      </c>
      <c r="W20" s="49">
        <f t="shared" si="7"/>
        <v>0</v>
      </c>
      <c r="X20" s="49">
        <f t="shared" si="8"/>
        <v>0</v>
      </c>
      <c r="Y20" s="49">
        <f t="shared" si="9"/>
        <v>0</v>
      </c>
      <c r="Z20" s="49">
        <f t="shared" si="10"/>
        <v>1415.3000000000002</v>
      </c>
      <c r="AA20" s="226"/>
      <c r="AB20" s="211"/>
    </row>
    <row r="21" spans="1:28" s="37" customFormat="1" ht="19.5" customHeight="1">
      <c r="A21" s="31">
        <v>14</v>
      </c>
      <c r="B21" s="32" t="s">
        <v>11</v>
      </c>
      <c r="C21" s="77">
        <v>5</v>
      </c>
      <c r="D21" s="91">
        <v>29224</v>
      </c>
      <c r="E21" s="60">
        <v>23</v>
      </c>
      <c r="F21" s="33"/>
      <c r="G21" s="33"/>
      <c r="H21" s="33"/>
      <c r="I21" s="33">
        <v>2</v>
      </c>
      <c r="J21" s="33"/>
      <c r="K21" s="33"/>
      <c r="L21" s="33"/>
      <c r="M21" s="33"/>
      <c r="N21" s="94">
        <v>3347</v>
      </c>
      <c r="O21" s="79">
        <f t="shared" si="0"/>
        <v>8.731</v>
      </c>
      <c r="P21" s="217">
        <v>1.07</v>
      </c>
      <c r="Q21" s="49">
        <f t="shared" si="1"/>
        <v>479.4</v>
      </c>
      <c r="R21" s="49">
        <f t="shared" si="2"/>
        <v>0</v>
      </c>
      <c r="S21" s="49">
        <f t="shared" si="3"/>
        <v>0</v>
      </c>
      <c r="T21" s="49">
        <f t="shared" si="4"/>
        <v>0</v>
      </c>
      <c r="U21" s="49">
        <f t="shared" si="5"/>
        <v>41.7</v>
      </c>
      <c r="V21" s="49">
        <f t="shared" si="6"/>
        <v>0</v>
      </c>
      <c r="W21" s="49">
        <f t="shared" si="7"/>
        <v>0</v>
      </c>
      <c r="X21" s="49">
        <f t="shared" si="8"/>
        <v>0</v>
      </c>
      <c r="Y21" s="49">
        <f t="shared" si="9"/>
        <v>0</v>
      </c>
      <c r="Z21" s="49">
        <f t="shared" si="10"/>
        <v>521.1</v>
      </c>
      <c r="AA21" s="226"/>
      <c r="AB21" s="211"/>
    </row>
    <row r="22" spans="1:28" s="37" customFormat="1" ht="15.75">
      <c r="A22" s="40">
        <v>15</v>
      </c>
      <c r="B22" s="32" t="s">
        <v>12</v>
      </c>
      <c r="C22" s="77">
        <v>5</v>
      </c>
      <c r="D22" s="91">
        <v>8754</v>
      </c>
      <c r="E22" s="60">
        <v>223</v>
      </c>
      <c r="F22" s="33">
        <v>1</v>
      </c>
      <c r="G22" s="33"/>
      <c r="H22" s="33"/>
      <c r="I22" s="33">
        <v>3</v>
      </c>
      <c r="J22" s="33"/>
      <c r="K22" s="33"/>
      <c r="L22" s="33">
        <v>2</v>
      </c>
      <c r="M22" s="33"/>
      <c r="N22" s="94">
        <v>3347</v>
      </c>
      <c r="O22" s="79">
        <f t="shared" si="0"/>
        <v>2.615</v>
      </c>
      <c r="P22" s="217">
        <v>1.034</v>
      </c>
      <c r="Q22" s="49">
        <f t="shared" si="1"/>
        <v>1345.4</v>
      </c>
      <c r="R22" s="49">
        <f t="shared" si="2"/>
        <v>6</v>
      </c>
      <c r="S22" s="49">
        <f t="shared" si="3"/>
        <v>0</v>
      </c>
      <c r="T22" s="49">
        <f t="shared" si="4"/>
        <v>0</v>
      </c>
      <c r="U22" s="49">
        <f t="shared" si="5"/>
        <v>18.1</v>
      </c>
      <c r="V22" s="49">
        <f t="shared" si="6"/>
        <v>0</v>
      </c>
      <c r="W22" s="49">
        <f t="shared" si="7"/>
        <v>0</v>
      </c>
      <c r="X22" s="49">
        <f t="shared" si="8"/>
        <v>12.1</v>
      </c>
      <c r="Y22" s="49">
        <f t="shared" si="9"/>
        <v>0</v>
      </c>
      <c r="Z22" s="49">
        <f t="shared" si="10"/>
        <v>1381.6</v>
      </c>
      <c r="AA22" s="226"/>
      <c r="AB22" s="211"/>
    </row>
    <row r="23" spans="1:28" s="37" customFormat="1" ht="15.75" customHeight="1">
      <c r="A23" s="31">
        <v>16</v>
      </c>
      <c r="B23" s="32" t="s">
        <v>13</v>
      </c>
      <c r="C23" s="77">
        <v>5</v>
      </c>
      <c r="D23" s="91">
        <v>24475</v>
      </c>
      <c r="E23" s="60">
        <v>61</v>
      </c>
      <c r="F23" s="33">
        <v>1</v>
      </c>
      <c r="G23" s="33"/>
      <c r="H23" s="33"/>
      <c r="I23" s="33">
        <v>2</v>
      </c>
      <c r="J23" s="33"/>
      <c r="K23" s="33"/>
      <c r="L23" s="33">
        <v>2</v>
      </c>
      <c r="M23" s="33">
        <v>1</v>
      </c>
      <c r="N23" s="94">
        <v>3347</v>
      </c>
      <c r="O23" s="79">
        <f t="shared" si="0"/>
        <v>7.313</v>
      </c>
      <c r="P23" s="217">
        <v>1.033</v>
      </c>
      <c r="Q23" s="49">
        <f t="shared" si="1"/>
        <v>1028.2</v>
      </c>
      <c r="R23" s="49">
        <f t="shared" si="2"/>
        <v>16.9</v>
      </c>
      <c r="S23" s="49">
        <f t="shared" si="3"/>
        <v>0</v>
      </c>
      <c r="T23" s="49">
        <f t="shared" si="4"/>
        <v>0</v>
      </c>
      <c r="U23" s="49">
        <f t="shared" si="5"/>
        <v>33.7</v>
      </c>
      <c r="V23" s="49">
        <f t="shared" si="6"/>
        <v>0</v>
      </c>
      <c r="W23" s="49">
        <f t="shared" si="7"/>
        <v>0</v>
      </c>
      <c r="X23" s="49">
        <f t="shared" si="8"/>
        <v>33.7</v>
      </c>
      <c r="Y23" s="49">
        <f t="shared" si="9"/>
        <v>16.9</v>
      </c>
      <c r="Z23" s="49">
        <f t="shared" si="10"/>
        <v>1129.4000000000003</v>
      </c>
      <c r="AA23" s="226"/>
      <c r="AB23" s="211"/>
    </row>
    <row r="24" spans="1:28" s="37" customFormat="1" ht="19.5" customHeight="1">
      <c r="A24" s="40">
        <v>17</v>
      </c>
      <c r="B24" s="32" t="s">
        <v>14</v>
      </c>
      <c r="C24" s="77">
        <v>5</v>
      </c>
      <c r="D24" s="91">
        <v>56989</v>
      </c>
      <c r="E24" s="60">
        <v>14</v>
      </c>
      <c r="F24" s="33"/>
      <c r="G24" s="33"/>
      <c r="H24" s="33"/>
      <c r="I24" s="33">
        <v>1</v>
      </c>
      <c r="J24" s="33"/>
      <c r="K24" s="33"/>
      <c r="L24" s="33"/>
      <c r="M24" s="33"/>
      <c r="N24" s="94">
        <v>3347</v>
      </c>
      <c r="O24" s="79">
        <f t="shared" si="0"/>
        <v>17.027</v>
      </c>
      <c r="P24" s="217">
        <v>1.046</v>
      </c>
      <c r="Q24" s="49">
        <f t="shared" si="1"/>
        <v>556.4</v>
      </c>
      <c r="R24" s="49">
        <f t="shared" si="2"/>
        <v>0</v>
      </c>
      <c r="S24" s="49">
        <f t="shared" si="3"/>
        <v>0</v>
      </c>
      <c r="T24" s="49">
        <f t="shared" si="4"/>
        <v>0</v>
      </c>
      <c r="U24" s="49">
        <f t="shared" si="5"/>
        <v>39.7</v>
      </c>
      <c r="V24" s="49">
        <f t="shared" si="6"/>
        <v>0</v>
      </c>
      <c r="W24" s="49">
        <f t="shared" si="7"/>
        <v>0</v>
      </c>
      <c r="X24" s="49">
        <f t="shared" si="8"/>
        <v>0</v>
      </c>
      <c r="Y24" s="49">
        <f t="shared" si="9"/>
        <v>0</v>
      </c>
      <c r="Z24" s="49">
        <f t="shared" si="10"/>
        <v>596.1</v>
      </c>
      <c r="AA24" s="226"/>
      <c r="AB24" s="211"/>
    </row>
    <row r="25" spans="1:28" s="37" customFormat="1" ht="15.75">
      <c r="A25" s="31">
        <v>18</v>
      </c>
      <c r="B25" s="32" t="s">
        <v>15</v>
      </c>
      <c r="C25" s="77">
        <v>5</v>
      </c>
      <c r="D25" s="91">
        <v>21271</v>
      </c>
      <c r="E25" s="60">
        <v>36</v>
      </c>
      <c r="F25" s="33"/>
      <c r="G25" s="33"/>
      <c r="H25" s="33"/>
      <c r="I25" s="33"/>
      <c r="J25" s="33"/>
      <c r="K25" s="33"/>
      <c r="L25" s="33"/>
      <c r="M25" s="33"/>
      <c r="N25" s="94">
        <v>3347</v>
      </c>
      <c r="O25" s="79">
        <f t="shared" si="0"/>
        <v>6.355</v>
      </c>
      <c r="P25" s="217">
        <v>1.09</v>
      </c>
      <c r="Q25" s="49">
        <f t="shared" si="1"/>
        <v>556.4</v>
      </c>
      <c r="R25" s="49">
        <f t="shared" si="2"/>
        <v>0</v>
      </c>
      <c r="S25" s="49">
        <f t="shared" si="3"/>
        <v>0</v>
      </c>
      <c r="T25" s="49">
        <f t="shared" si="4"/>
        <v>0</v>
      </c>
      <c r="U25" s="49">
        <f t="shared" si="5"/>
        <v>0</v>
      </c>
      <c r="V25" s="49">
        <f t="shared" si="6"/>
        <v>0</v>
      </c>
      <c r="W25" s="49">
        <f t="shared" si="7"/>
        <v>0</v>
      </c>
      <c r="X25" s="49">
        <f t="shared" si="8"/>
        <v>0</v>
      </c>
      <c r="Y25" s="49">
        <f t="shared" si="9"/>
        <v>0</v>
      </c>
      <c r="Z25" s="49">
        <f t="shared" si="10"/>
        <v>556.4</v>
      </c>
      <c r="AA25" s="226"/>
      <c r="AB25" s="211"/>
    </row>
    <row r="26" spans="1:28" s="37" customFormat="1" ht="21" customHeight="1">
      <c r="A26" s="40">
        <v>19</v>
      </c>
      <c r="B26" s="32" t="s">
        <v>16</v>
      </c>
      <c r="C26" s="77">
        <v>5</v>
      </c>
      <c r="D26" s="91">
        <v>15687</v>
      </c>
      <c r="E26" s="60">
        <v>106</v>
      </c>
      <c r="F26" s="33"/>
      <c r="G26" s="33"/>
      <c r="H26" s="33"/>
      <c r="I26" s="33"/>
      <c r="J26" s="33"/>
      <c r="K26" s="33">
        <v>1</v>
      </c>
      <c r="L26" s="33"/>
      <c r="M26" s="33">
        <v>2</v>
      </c>
      <c r="N26" s="94">
        <v>3347</v>
      </c>
      <c r="O26" s="79">
        <f t="shared" si="0"/>
        <v>4.687</v>
      </c>
      <c r="P26" s="217">
        <v>1.036</v>
      </c>
      <c r="Q26" s="49">
        <f t="shared" si="1"/>
        <v>1148.5</v>
      </c>
      <c r="R26" s="49">
        <f t="shared" si="2"/>
        <v>0</v>
      </c>
      <c r="S26" s="49">
        <f t="shared" si="3"/>
        <v>0</v>
      </c>
      <c r="T26" s="49">
        <f t="shared" si="4"/>
        <v>0</v>
      </c>
      <c r="U26" s="49">
        <f t="shared" si="5"/>
        <v>0</v>
      </c>
      <c r="V26" s="49">
        <f t="shared" si="6"/>
        <v>0</v>
      </c>
      <c r="W26" s="49">
        <f t="shared" si="7"/>
        <v>10.8</v>
      </c>
      <c r="X26" s="49">
        <f t="shared" si="8"/>
        <v>0</v>
      </c>
      <c r="Y26" s="49">
        <f t="shared" si="9"/>
        <v>21.7</v>
      </c>
      <c r="Z26" s="49">
        <f t="shared" si="10"/>
        <v>1181</v>
      </c>
      <c r="AA26" s="226"/>
      <c r="AB26" s="211"/>
    </row>
    <row r="27" spans="1:28" s="37" customFormat="1" ht="15.75">
      <c r="A27" s="31">
        <v>20</v>
      </c>
      <c r="B27" s="32" t="s">
        <v>17</v>
      </c>
      <c r="C27" s="77">
        <v>5</v>
      </c>
      <c r="D27" s="91">
        <v>6204</v>
      </c>
      <c r="E27" s="60">
        <v>220</v>
      </c>
      <c r="F27" s="33">
        <v>1</v>
      </c>
      <c r="G27" s="33"/>
      <c r="H27" s="33"/>
      <c r="I27" s="33">
        <v>1</v>
      </c>
      <c r="J27" s="33"/>
      <c r="K27" s="33"/>
      <c r="L27" s="33"/>
      <c r="M27" s="33"/>
      <c r="N27" s="94">
        <v>3347</v>
      </c>
      <c r="O27" s="79">
        <f t="shared" si="0"/>
        <v>1.854</v>
      </c>
      <c r="P27" s="217">
        <v>1.046</v>
      </c>
      <c r="Q27" s="49">
        <f t="shared" si="1"/>
        <v>952</v>
      </c>
      <c r="R27" s="49">
        <f t="shared" si="2"/>
        <v>4.3</v>
      </c>
      <c r="S27" s="49">
        <f t="shared" si="3"/>
        <v>0</v>
      </c>
      <c r="T27" s="49">
        <f t="shared" si="4"/>
        <v>0</v>
      </c>
      <c r="U27" s="49">
        <f t="shared" si="5"/>
        <v>4.3</v>
      </c>
      <c r="V27" s="49">
        <f t="shared" si="6"/>
        <v>0</v>
      </c>
      <c r="W27" s="49">
        <f t="shared" si="7"/>
        <v>0</v>
      </c>
      <c r="X27" s="49">
        <f t="shared" si="8"/>
        <v>0</v>
      </c>
      <c r="Y27" s="49">
        <f t="shared" si="9"/>
        <v>0</v>
      </c>
      <c r="Z27" s="49">
        <f t="shared" si="10"/>
        <v>960.5999999999999</v>
      </c>
      <c r="AA27" s="226"/>
      <c r="AB27" s="211"/>
    </row>
    <row r="28" spans="1:28" s="37" customFormat="1" ht="15.75">
      <c r="A28" s="40">
        <v>21</v>
      </c>
      <c r="B28" s="32" t="s">
        <v>18</v>
      </c>
      <c r="C28" s="77">
        <v>5</v>
      </c>
      <c r="D28" s="91">
        <v>36770</v>
      </c>
      <c r="E28" s="60">
        <v>29</v>
      </c>
      <c r="F28" s="60">
        <v>1</v>
      </c>
      <c r="G28" s="60">
        <v>2</v>
      </c>
      <c r="H28" s="60"/>
      <c r="I28" s="60"/>
      <c r="J28" s="33"/>
      <c r="K28" s="33"/>
      <c r="L28" s="60"/>
      <c r="M28" s="60"/>
      <c r="N28" s="94">
        <v>3347</v>
      </c>
      <c r="O28" s="79">
        <f t="shared" si="0"/>
        <v>10.986</v>
      </c>
      <c r="P28" s="217">
        <v>1.039</v>
      </c>
      <c r="Q28" s="49">
        <f t="shared" si="1"/>
        <v>738.6</v>
      </c>
      <c r="R28" s="49">
        <f t="shared" si="2"/>
        <v>25.5</v>
      </c>
      <c r="S28" s="49">
        <f t="shared" si="3"/>
        <v>50.9</v>
      </c>
      <c r="T28" s="49">
        <f t="shared" si="4"/>
        <v>0</v>
      </c>
      <c r="U28" s="49">
        <f t="shared" si="5"/>
        <v>0</v>
      </c>
      <c r="V28" s="49">
        <f t="shared" si="6"/>
        <v>0</v>
      </c>
      <c r="W28" s="49">
        <f t="shared" si="7"/>
        <v>0</v>
      </c>
      <c r="X28" s="49">
        <f t="shared" si="8"/>
        <v>0</v>
      </c>
      <c r="Y28" s="49">
        <f t="shared" si="9"/>
        <v>0</v>
      </c>
      <c r="Z28" s="49">
        <f t="shared" si="10"/>
        <v>815</v>
      </c>
      <c r="AA28" s="226"/>
      <c r="AB28" s="211"/>
    </row>
    <row r="29" spans="1:28" s="37" customFormat="1" ht="15" customHeight="1">
      <c r="A29" s="31">
        <v>22</v>
      </c>
      <c r="B29" s="32" t="s">
        <v>19</v>
      </c>
      <c r="C29" s="77">
        <v>5</v>
      </c>
      <c r="D29" s="91">
        <v>13269</v>
      </c>
      <c r="E29" s="60">
        <v>118</v>
      </c>
      <c r="F29" s="60"/>
      <c r="G29" s="60">
        <v>2</v>
      </c>
      <c r="H29" s="60"/>
      <c r="I29" s="60"/>
      <c r="J29" s="33"/>
      <c r="K29" s="33"/>
      <c r="L29" s="60"/>
      <c r="M29" s="60"/>
      <c r="N29" s="94">
        <v>3347</v>
      </c>
      <c r="O29" s="79">
        <f t="shared" si="0"/>
        <v>3.964</v>
      </c>
      <c r="P29" s="217">
        <v>1.046</v>
      </c>
      <c r="Q29" s="49">
        <f t="shared" si="1"/>
        <v>1091.7</v>
      </c>
      <c r="R29" s="49">
        <f t="shared" si="2"/>
        <v>0</v>
      </c>
      <c r="S29" s="49">
        <f t="shared" si="3"/>
        <v>18.5</v>
      </c>
      <c r="T29" s="49">
        <f t="shared" si="4"/>
        <v>0</v>
      </c>
      <c r="U29" s="49">
        <f t="shared" si="5"/>
        <v>0</v>
      </c>
      <c r="V29" s="49">
        <f t="shared" si="6"/>
        <v>0</v>
      </c>
      <c r="W29" s="49">
        <f t="shared" si="7"/>
        <v>0</v>
      </c>
      <c r="X29" s="49">
        <f t="shared" si="8"/>
        <v>0</v>
      </c>
      <c r="Y29" s="49">
        <f t="shared" si="9"/>
        <v>0</v>
      </c>
      <c r="Z29" s="49">
        <f t="shared" si="10"/>
        <v>1110.2</v>
      </c>
      <c r="AA29" s="226"/>
      <c r="AB29" s="211"/>
    </row>
    <row r="30" spans="1:28" s="37" customFormat="1" ht="18.75" customHeight="1">
      <c r="A30" s="40">
        <v>23</v>
      </c>
      <c r="B30" s="32" t="s">
        <v>20</v>
      </c>
      <c r="C30" s="77">
        <v>6</v>
      </c>
      <c r="D30" s="91">
        <v>28637</v>
      </c>
      <c r="E30" s="60">
        <v>38</v>
      </c>
      <c r="F30" s="33">
        <v>2</v>
      </c>
      <c r="G30" s="60"/>
      <c r="H30" s="60"/>
      <c r="I30" s="33">
        <v>3</v>
      </c>
      <c r="J30" s="33"/>
      <c r="K30" s="33"/>
      <c r="L30" s="33"/>
      <c r="M30" s="33"/>
      <c r="N30" s="94">
        <v>3347</v>
      </c>
      <c r="O30" s="79">
        <f t="shared" si="0"/>
        <v>8.556</v>
      </c>
      <c r="P30" s="217">
        <v>1.033</v>
      </c>
      <c r="Q30" s="49">
        <f t="shared" si="1"/>
        <v>749.4</v>
      </c>
      <c r="R30" s="49">
        <f t="shared" si="2"/>
        <v>39.4</v>
      </c>
      <c r="S30" s="49">
        <f t="shared" si="3"/>
        <v>0</v>
      </c>
      <c r="T30" s="49">
        <f t="shared" si="4"/>
        <v>0</v>
      </c>
      <c r="U30" s="49">
        <f t="shared" si="5"/>
        <v>59.2</v>
      </c>
      <c r="V30" s="49">
        <f t="shared" si="6"/>
        <v>0</v>
      </c>
      <c r="W30" s="49">
        <f t="shared" si="7"/>
        <v>0</v>
      </c>
      <c r="X30" s="49">
        <f t="shared" si="8"/>
        <v>0</v>
      </c>
      <c r="Y30" s="49">
        <f t="shared" si="9"/>
        <v>0</v>
      </c>
      <c r="Z30" s="49">
        <f t="shared" si="10"/>
        <v>848</v>
      </c>
      <c r="AA30" s="226"/>
      <c r="AB30" s="211"/>
    </row>
    <row r="31" spans="1:28" s="37" customFormat="1" ht="15.75">
      <c r="A31" s="31">
        <v>24</v>
      </c>
      <c r="B31" s="32" t="s">
        <v>21</v>
      </c>
      <c r="C31" s="77">
        <v>5</v>
      </c>
      <c r="D31" s="91">
        <v>46500</v>
      </c>
      <c r="E31" s="60">
        <v>25</v>
      </c>
      <c r="F31" s="33"/>
      <c r="G31" s="60"/>
      <c r="H31" s="60">
        <v>1</v>
      </c>
      <c r="I31" s="60"/>
      <c r="J31" s="33"/>
      <c r="K31" s="33"/>
      <c r="L31" s="60"/>
      <c r="M31" s="33"/>
      <c r="N31" s="94">
        <v>3347</v>
      </c>
      <c r="O31" s="79">
        <f t="shared" si="0"/>
        <v>13.893</v>
      </c>
      <c r="P31" s="217">
        <v>1.057</v>
      </c>
      <c r="Q31" s="49">
        <f t="shared" si="1"/>
        <v>819.2</v>
      </c>
      <c r="R31" s="49">
        <f t="shared" si="2"/>
        <v>0</v>
      </c>
      <c r="S31" s="49">
        <f t="shared" si="3"/>
        <v>0</v>
      </c>
      <c r="T31" s="49">
        <f t="shared" si="4"/>
        <v>32.8</v>
      </c>
      <c r="U31" s="49">
        <f t="shared" si="5"/>
        <v>0</v>
      </c>
      <c r="V31" s="49">
        <f t="shared" si="6"/>
        <v>0</v>
      </c>
      <c r="W31" s="49">
        <f t="shared" si="7"/>
        <v>0</v>
      </c>
      <c r="X31" s="49">
        <f t="shared" si="8"/>
        <v>0</v>
      </c>
      <c r="Y31" s="49">
        <f t="shared" si="9"/>
        <v>0</v>
      </c>
      <c r="Z31" s="49">
        <f t="shared" si="10"/>
        <v>852</v>
      </c>
      <c r="AA31" s="226"/>
      <c r="AB31" s="211"/>
    </row>
    <row r="32" spans="1:28" s="37" customFormat="1" ht="15.75">
      <c r="A32" s="40">
        <v>25</v>
      </c>
      <c r="B32" s="32" t="s">
        <v>22</v>
      </c>
      <c r="C32" s="77">
        <v>6</v>
      </c>
      <c r="D32" s="91">
        <v>67373</v>
      </c>
      <c r="E32" s="60">
        <v>27</v>
      </c>
      <c r="F32" s="33"/>
      <c r="G32" s="60"/>
      <c r="H32" s="60"/>
      <c r="I32" s="60"/>
      <c r="J32" s="33"/>
      <c r="K32" s="33"/>
      <c r="L32" s="60"/>
      <c r="M32" s="60"/>
      <c r="N32" s="94">
        <v>3347</v>
      </c>
      <c r="O32" s="79">
        <f t="shared" si="0"/>
        <v>20.129</v>
      </c>
      <c r="P32" s="217">
        <v>1.041</v>
      </c>
      <c r="Q32" s="49">
        <f t="shared" si="1"/>
        <v>1262.4</v>
      </c>
      <c r="R32" s="49">
        <f t="shared" si="2"/>
        <v>0</v>
      </c>
      <c r="S32" s="49">
        <f t="shared" si="3"/>
        <v>0</v>
      </c>
      <c r="T32" s="49">
        <f t="shared" si="4"/>
        <v>0</v>
      </c>
      <c r="U32" s="49">
        <f t="shared" si="5"/>
        <v>0</v>
      </c>
      <c r="V32" s="49">
        <f t="shared" si="6"/>
        <v>0</v>
      </c>
      <c r="W32" s="49">
        <f t="shared" si="7"/>
        <v>0</v>
      </c>
      <c r="X32" s="49">
        <f t="shared" si="8"/>
        <v>0</v>
      </c>
      <c r="Y32" s="49">
        <f t="shared" si="9"/>
        <v>0</v>
      </c>
      <c r="Z32" s="49">
        <f t="shared" si="10"/>
        <v>1262.4</v>
      </c>
      <c r="AA32" s="226"/>
      <c r="AB32" s="211"/>
    </row>
    <row r="33" spans="1:28" s="37" customFormat="1" ht="15.75">
      <c r="A33" s="31">
        <v>26</v>
      </c>
      <c r="B33" s="32" t="s">
        <v>23</v>
      </c>
      <c r="C33" s="77">
        <v>5</v>
      </c>
      <c r="D33" s="91">
        <v>28921</v>
      </c>
      <c r="E33" s="146">
        <v>61</v>
      </c>
      <c r="F33" s="147">
        <v>1</v>
      </c>
      <c r="G33" s="33"/>
      <c r="H33" s="33"/>
      <c r="I33" s="33"/>
      <c r="J33" s="33">
        <v>1</v>
      </c>
      <c r="K33" s="33"/>
      <c r="L33" s="33"/>
      <c r="M33" s="33"/>
      <c r="N33" s="94">
        <v>3347</v>
      </c>
      <c r="O33" s="79">
        <f t="shared" si="0"/>
        <v>8.641</v>
      </c>
      <c r="P33" s="217">
        <v>1.045</v>
      </c>
      <c r="Q33" s="49">
        <f t="shared" si="1"/>
        <v>1229.1</v>
      </c>
      <c r="R33" s="49">
        <f t="shared" si="2"/>
        <v>20.1</v>
      </c>
      <c r="S33" s="49">
        <f t="shared" si="3"/>
        <v>0</v>
      </c>
      <c r="T33" s="49">
        <f t="shared" si="4"/>
        <v>0</v>
      </c>
      <c r="U33" s="49">
        <f t="shared" si="5"/>
        <v>0</v>
      </c>
      <c r="V33" s="49">
        <f t="shared" si="6"/>
        <v>20.1</v>
      </c>
      <c r="W33" s="49">
        <f t="shared" si="7"/>
        <v>0</v>
      </c>
      <c r="X33" s="49">
        <f t="shared" si="8"/>
        <v>0</v>
      </c>
      <c r="Y33" s="49">
        <f t="shared" si="9"/>
        <v>0</v>
      </c>
      <c r="Z33" s="49">
        <f t="shared" si="10"/>
        <v>1269.2999999999997</v>
      </c>
      <c r="AA33" s="226"/>
      <c r="AB33" s="211"/>
    </row>
    <row r="34" spans="1:28" s="37" customFormat="1" ht="24" customHeight="1">
      <c r="A34" s="40">
        <v>27</v>
      </c>
      <c r="B34" s="32" t="s">
        <v>24</v>
      </c>
      <c r="C34" s="77">
        <v>5</v>
      </c>
      <c r="D34" s="91">
        <v>25064</v>
      </c>
      <c r="E34" s="60">
        <v>50</v>
      </c>
      <c r="F34" s="33">
        <v>1</v>
      </c>
      <c r="G34" s="33"/>
      <c r="H34" s="33"/>
      <c r="I34" s="33"/>
      <c r="J34" s="33"/>
      <c r="K34" s="33">
        <v>1</v>
      </c>
      <c r="L34" s="33"/>
      <c r="M34" s="33"/>
      <c r="N34" s="94">
        <v>3347</v>
      </c>
      <c r="O34" s="79">
        <f t="shared" si="0"/>
        <v>7.488</v>
      </c>
      <c r="P34" s="217">
        <v>1.045</v>
      </c>
      <c r="Q34" s="49">
        <f t="shared" si="1"/>
        <v>873</v>
      </c>
      <c r="R34" s="49">
        <f t="shared" si="2"/>
        <v>17.5</v>
      </c>
      <c r="S34" s="49">
        <f t="shared" si="3"/>
        <v>0</v>
      </c>
      <c r="T34" s="49">
        <f t="shared" si="4"/>
        <v>0</v>
      </c>
      <c r="U34" s="49">
        <f t="shared" si="5"/>
        <v>0</v>
      </c>
      <c r="V34" s="49">
        <f t="shared" si="6"/>
        <v>0</v>
      </c>
      <c r="W34" s="49">
        <f t="shared" si="7"/>
        <v>17.5</v>
      </c>
      <c r="X34" s="49">
        <f t="shared" si="8"/>
        <v>0</v>
      </c>
      <c r="Y34" s="49">
        <f t="shared" si="9"/>
        <v>0</v>
      </c>
      <c r="Z34" s="49">
        <f t="shared" si="10"/>
        <v>908</v>
      </c>
      <c r="AA34" s="226"/>
      <c r="AB34" s="211"/>
    </row>
    <row r="35" spans="1:28" s="37" customFormat="1" ht="18" customHeight="1">
      <c r="A35" s="31">
        <v>28</v>
      </c>
      <c r="B35" s="32" t="s">
        <v>25</v>
      </c>
      <c r="C35" s="77">
        <v>5</v>
      </c>
      <c r="D35" s="91">
        <v>48753</v>
      </c>
      <c r="E35" s="60">
        <v>26</v>
      </c>
      <c r="F35" s="33">
        <v>2</v>
      </c>
      <c r="G35" s="33"/>
      <c r="H35" s="33"/>
      <c r="I35" s="33">
        <v>4</v>
      </c>
      <c r="J35" s="33"/>
      <c r="K35" s="33"/>
      <c r="L35" s="33"/>
      <c r="M35" s="33"/>
      <c r="N35" s="94">
        <v>3347</v>
      </c>
      <c r="O35" s="79">
        <f t="shared" si="0"/>
        <v>14.566</v>
      </c>
      <c r="P35" s="217">
        <v>1.048</v>
      </c>
      <c r="Q35" s="49">
        <f t="shared" si="1"/>
        <v>885.6</v>
      </c>
      <c r="R35" s="49">
        <f t="shared" si="2"/>
        <v>68.1</v>
      </c>
      <c r="S35" s="49">
        <f t="shared" si="3"/>
        <v>0</v>
      </c>
      <c r="T35" s="49">
        <f t="shared" si="4"/>
        <v>0</v>
      </c>
      <c r="U35" s="49">
        <f t="shared" si="5"/>
        <v>136.2</v>
      </c>
      <c r="V35" s="49">
        <f t="shared" si="6"/>
        <v>0</v>
      </c>
      <c r="W35" s="49">
        <f t="shared" si="7"/>
        <v>0</v>
      </c>
      <c r="X35" s="49">
        <f t="shared" si="8"/>
        <v>0</v>
      </c>
      <c r="Y35" s="49">
        <f t="shared" si="9"/>
        <v>0</v>
      </c>
      <c r="Z35" s="49">
        <f t="shared" si="10"/>
        <v>1089.9</v>
      </c>
      <c r="AA35" s="226"/>
      <c r="AB35" s="211"/>
    </row>
    <row r="36" spans="1:28" s="37" customFormat="1" ht="18.75" customHeight="1">
      <c r="A36" s="40">
        <v>29</v>
      </c>
      <c r="B36" s="32" t="s">
        <v>26</v>
      </c>
      <c r="C36" s="77">
        <v>6</v>
      </c>
      <c r="D36" s="91">
        <v>65413</v>
      </c>
      <c r="E36" s="60">
        <v>42</v>
      </c>
      <c r="F36" s="33"/>
      <c r="G36" s="33"/>
      <c r="H36" s="33"/>
      <c r="I36" s="33"/>
      <c r="J36" s="33"/>
      <c r="K36" s="33"/>
      <c r="L36" s="33"/>
      <c r="M36" s="33"/>
      <c r="N36" s="94">
        <v>3347</v>
      </c>
      <c r="O36" s="79">
        <f t="shared" si="0"/>
        <v>19.544</v>
      </c>
      <c r="P36" s="217">
        <v>1.021</v>
      </c>
      <c r="Q36" s="49">
        <f t="shared" si="1"/>
        <v>1870</v>
      </c>
      <c r="R36" s="49">
        <f t="shared" si="2"/>
        <v>0</v>
      </c>
      <c r="S36" s="49">
        <f t="shared" si="3"/>
        <v>0</v>
      </c>
      <c r="T36" s="49">
        <f t="shared" si="4"/>
        <v>0</v>
      </c>
      <c r="U36" s="49">
        <f t="shared" si="5"/>
        <v>0</v>
      </c>
      <c r="V36" s="49">
        <f t="shared" si="6"/>
        <v>0</v>
      </c>
      <c r="W36" s="49">
        <f t="shared" si="7"/>
        <v>0</v>
      </c>
      <c r="X36" s="49">
        <f t="shared" si="8"/>
        <v>0</v>
      </c>
      <c r="Y36" s="49">
        <f t="shared" si="9"/>
        <v>0</v>
      </c>
      <c r="Z36" s="49">
        <f t="shared" si="10"/>
        <v>1870</v>
      </c>
      <c r="AA36" s="226"/>
      <c r="AB36" s="211"/>
    </row>
    <row r="37" spans="1:28" s="37" customFormat="1" ht="32.25" customHeight="1">
      <c r="A37" s="31">
        <v>30</v>
      </c>
      <c r="B37" s="32" t="s">
        <v>27</v>
      </c>
      <c r="C37" s="77">
        <v>6</v>
      </c>
      <c r="D37" s="91">
        <v>48853</v>
      </c>
      <c r="E37" s="60">
        <v>23</v>
      </c>
      <c r="F37" s="33"/>
      <c r="G37" s="33"/>
      <c r="H37" s="33"/>
      <c r="I37" s="33"/>
      <c r="J37" s="33"/>
      <c r="K37" s="33"/>
      <c r="L37" s="33"/>
      <c r="M37" s="33"/>
      <c r="N37" s="94">
        <v>3347</v>
      </c>
      <c r="O37" s="79">
        <f t="shared" si="0"/>
        <v>14.596</v>
      </c>
      <c r="P37" s="217">
        <v>1.036</v>
      </c>
      <c r="Q37" s="49">
        <f t="shared" si="1"/>
        <v>776</v>
      </c>
      <c r="R37" s="49">
        <f t="shared" si="2"/>
        <v>0</v>
      </c>
      <c r="S37" s="49">
        <f t="shared" si="3"/>
        <v>0</v>
      </c>
      <c r="T37" s="49">
        <f t="shared" si="4"/>
        <v>0</v>
      </c>
      <c r="U37" s="49">
        <f t="shared" si="5"/>
        <v>0</v>
      </c>
      <c r="V37" s="49">
        <f t="shared" si="6"/>
        <v>0</v>
      </c>
      <c r="W37" s="49">
        <f t="shared" si="7"/>
        <v>0</v>
      </c>
      <c r="X37" s="49">
        <f t="shared" si="8"/>
        <v>0</v>
      </c>
      <c r="Y37" s="49">
        <f t="shared" si="9"/>
        <v>0</v>
      </c>
      <c r="Z37" s="49">
        <f t="shared" si="10"/>
        <v>776</v>
      </c>
      <c r="AA37" s="226"/>
      <c r="AB37" s="211"/>
    </row>
    <row r="38" spans="1:28" s="37" customFormat="1" ht="15.75">
      <c r="A38" s="40">
        <v>31</v>
      </c>
      <c r="B38" s="32" t="s">
        <v>28</v>
      </c>
      <c r="C38" s="77">
        <v>5</v>
      </c>
      <c r="D38" s="91">
        <v>31354</v>
      </c>
      <c r="E38" s="60">
        <v>46</v>
      </c>
      <c r="F38" s="60"/>
      <c r="G38" s="60"/>
      <c r="H38" s="60"/>
      <c r="I38" s="60"/>
      <c r="J38" s="60"/>
      <c r="K38" s="33"/>
      <c r="L38" s="60"/>
      <c r="M38" s="33"/>
      <c r="N38" s="94">
        <v>3347</v>
      </c>
      <c r="O38" s="79">
        <f t="shared" si="0"/>
        <v>9.368</v>
      </c>
      <c r="P38" s="217">
        <v>1.036</v>
      </c>
      <c r="Q38" s="49">
        <f t="shared" si="1"/>
        <v>996.2</v>
      </c>
      <c r="R38" s="49">
        <f t="shared" si="2"/>
        <v>0</v>
      </c>
      <c r="S38" s="49">
        <f t="shared" si="3"/>
        <v>0</v>
      </c>
      <c r="T38" s="49">
        <f t="shared" si="4"/>
        <v>0</v>
      </c>
      <c r="U38" s="49">
        <f t="shared" si="5"/>
        <v>0</v>
      </c>
      <c r="V38" s="49">
        <f t="shared" si="6"/>
        <v>0</v>
      </c>
      <c r="W38" s="49">
        <f t="shared" si="7"/>
        <v>0</v>
      </c>
      <c r="X38" s="49">
        <f t="shared" si="8"/>
        <v>0</v>
      </c>
      <c r="Y38" s="49">
        <f t="shared" si="9"/>
        <v>0</v>
      </c>
      <c r="Z38" s="49">
        <f t="shared" si="10"/>
        <v>996.2</v>
      </c>
      <c r="AA38" s="226"/>
      <c r="AB38" s="211"/>
    </row>
    <row r="39" spans="1:28" s="37" customFormat="1" ht="20.25" customHeight="1">
      <c r="A39" s="31">
        <v>32</v>
      </c>
      <c r="B39" s="32" t="s">
        <v>29</v>
      </c>
      <c r="C39" s="77">
        <v>5</v>
      </c>
      <c r="D39" s="91">
        <v>44126</v>
      </c>
      <c r="E39" s="60">
        <v>33</v>
      </c>
      <c r="F39" s="60"/>
      <c r="G39" s="60"/>
      <c r="H39" s="60"/>
      <c r="I39" s="60"/>
      <c r="J39" s="60"/>
      <c r="K39" s="33"/>
      <c r="L39" s="60">
        <v>1</v>
      </c>
      <c r="M39" s="33"/>
      <c r="N39" s="94">
        <v>3347</v>
      </c>
      <c r="O39" s="79">
        <f t="shared" si="0"/>
        <v>13.184</v>
      </c>
      <c r="P39" s="217">
        <v>1.043</v>
      </c>
      <c r="Q39" s="49">
        <f t="shared" si="1"/>
        <v>1012.5</v>
      </c>
      <c r="R39" s="49">
        <f t="shared" si="2"/>
        <v>0</v>
      </c>
      <c r="S39" s="49">
        <f t="shared" si="3"/>
        <v>0</v>
      </c>
      <c r="T39" s="49">
        <f t="shared" si="4"/>
        <v>0</v>
      </c>
      <c r="U39" s="49">
        <f t="shared" si="5"/>
        <v>0</v>
      </c>
      <c r="V39" s="49">
        <f t="shared" si="6"/>
        <v>0</v>
      </c>
      <c r="W39" s="49">
        <f t="shared" si="7"/>
        <v>0</v>
      </c>
      <c r="X39" s="49">
        <f t="shared" si="8"/>
        <v>30.7</v>
      </c>
      <c r="Y39" s="49">
        <f t="shared" si="9"/>
        <v>0</v>
      </c>
      <c r="Z39" s="49">
        <f t="shared" si="10"/>
        <v>1043.2</v>
      </c>
      <c r="AA39" s="226"/>
      <c r="AB39" s="211"/>
    </row>
    <row r="40" spans="1:28" s="37" customFormat="1" ht="18" customHeight="1">
      <c r="A40" s="40">
        <v>33</v>
      </c>
      <c r="B40" s="32" t="s">
        <v>30</v>
      </c>
      <c r="C40" s="77">
        <v>6</v>
      </c>
      <c r="D40" s="91">
        <v>27660</v>
      </c>
      <c r="E40" s="60">
        <v>22</v>
      </c>
      <c r="F40" s="60"/>
      <c r="G40" s="60"/>
      <c r="H40" s="60"/>
      <c r="I40" s="60"/>
      <c r="J40" s="60"/>
      <c r="K40" s="33"/>
      <c r="L40" s="60">
        <v>1</v>
      </c>
      <c r="M40" s="60"/>
      <c r="N40" s="94">
        <v>3347</v>
      </c>
      <c r="O40" s="79">
        <f t="shared" si="0"/>
        <v>8.264</v>
      </c>
      <c r="P40" s="217">
        <v>1.033</v>
      </c>
      <c r="Q40" s="49">
        <f t="shared" si="1"/>
        <v>419.1</v>
      </c>
      <c r="R40" s="49">
        <f t="shared" si="2"/>
        <v>0</v>
      </c>
      <c r="S40" s="49">
        <f t="shared" si="3"/>
        <v>0</v>
      </c>
      <c r="T40" s="49">
        <f t="shared" si="4"/>
        <v>0</v>
      </c>
      <c r="U40" s="49">
        <f t="shared" si="5"/>
        <v>0</v>
      </c>
      <c r="V40" s="49">
        <f t="shared" si="6"/>
        <v>0</v>
      </c>
      <c r="W40" s="49">
        <f t="shared" si="7"/>
        <v>0</v>
      </c>
      <c r="X40" s="49">
        <f t="shared" si="8"/>
        <v>19</v>
      </c>
      <c r="Y40" s="49">
        <f t="shared" si="9"/>
        <v>0</v>
      </c>
      <c r="Z40" s="49">
        <f t="shared" si="10"/>
        <v>438.1</v>
      </c>
      <c r="AA40" s="226"/>
      <c r="AB40" s="211"/>
    </row>
    <row r="41" spans="1:28" s="37" customFormat="1" ht="15.75">
      <c r="A41" s="31">
        <v>34</v>
      </c>
      <c r="B41" s="32" t="s">
        <v>31</v>
      </c>
      <c r="C41" s="77">
        <v>5</v>
      </c>
      <c r="D41" s="91">
        <v>17307</v>
      </c>
      <c r="E41" s="60">
        <v>105</v>
      </c>
      <c r="F41" s="33">
        <v>1</v>
      </c>
      <c r="G41" s="33"/>
      <c r="H41" s="33"/>
      <c r="I41" s="33">
        <v>2</v>
      </c>
      <c r="J41" s="33">
        <v>1</v>
      </c>
      <c r="K41" s="33"/>
      <c r="L41" s="33"/>
      <c r="M41" s="33"/>
      <c r="N41" s="94">
        <v>3347</v>
      </c>
      <c r="O41" s="79">
        <f t="shared" si="0"/>
        <v>5.171</v>
      </c>
      <c r="P41" s="217">
        <v>1.027</v>
      </c>
      <c r="Q41" s="49">
        <f t="shared" si="1"/>
        <v>1244.2</v>
      </c>
      <c r="R41" s="49">
        <f t="shared" si="2"/>
        <v>11.8</v>
      </c>
      <c r="S41" s="49">
        <f t="shared" si="3"/>
        <v>0</v>
      </c>
      <c r="T41" s="49">
        <f t="shared" si="4"/>
        <v>0</v>
      </c>
      <c r="U41" s="49">
        <f t="shared" si="5"/>
        <v>23.7</v>
      </c>
      <c r="V41" s="49">
        <f t="shared" si="6"/>
        <v>11.8</v>
      </c>
      <c r="W41" s="49">
        <f t="shared" si="7"/>
        <v>0</v>
      </c>
      <c r="X41" s="49">
        <f t="shared" si="8"/>
        <v>0</v>
      </c>
      <c r="Y41" s="49">
        <f t="shared" si="9"/>
        <v>0</v>
      </c>
      <c r="Z41" s="49">
        <f t="shared" si="10"/>
        <v>1291.5</v>
      </c>
      <c r="AA41" s="226"/>
      <c r="AB41" s="211"/>
    </row>
    <row r="42" spans="1:28" s="37" customFormat="1" ht="22.5" customHeight="1">
      <c r="A42" s="40">
        <v>35</v>
      </c>
      <c r="B42" s="32" t="s">
        <v>32</v>
      </c>
      <c r="C42" s="77">
        <v>5</v>
      </c>
      <c r="D42" s="91">
        <v>18046</v>
      </c>
      <c r="E42" s="60">
        <v>98</v>
      </c>
      <c r="F42" s="33">
        <v>1</v>
      </c>
      <c r="G42" s="33"/>
      <c r="H42" s="33">
        <v>1</v>
      </c>
      <c r="I42" s="33">
        <v>4</v>
      </c>
      <c r="J42" s="33"/>
      <c r="K42" s="33"/>
      <c r="L42" s="33">
        <v>1</v>
      </c>
      <c r="M42" s="33"/>
      <c r="N42" s="94">
        <v>3347</v>
      </c>
      <c r="O42" s="79">
        <f t="shared" si="0"/>
        <v>5.392</v>
      </c>
      <c r="P42" s="217">
        <v>1.029</v>
      </c>
      <c r="Q42" s="49">
        <f t="shared" si="1"/>
        <v>1213.3</v>
      </c>
      <c r="R42" s="49">
        <f t="shared" si="2"/>
        <v>12.4</v>
      </c>
      <c r="S42" s="49">
        <f t="shared" si="3"/>
        <v>0</v>
      </c>
      <c r="T42" s="49">
        <f t="shared" si="4"/>
        <v>12.4</v>
      </c>
      <c r="U42" s="49">
        <f t="shared" si="5"/>
        <v>49.5</v>
      </c>
      <c r="V42" s="49">
        <f t="shared" si="6"/>
        <v>0</v>
      </c>
      <c r="W42" s="49">
        <f t="shared" si="7"/>
        <v>0</v>
      </c>
      <c r="X42" s="49">
        <f t="shared" si="8"/>
        <v>12.4</v>
      </c>
      <c r="Y42" s="49">
        <f t="shared" si="9"/>
        <v>0</v>
      </c>
      <c r="Z42" s="49">
        <f t="shared" si="10"/>
        <v>1300.0000000000002</v>
      </c>
      <c r="AA42" s="226"/>
      <c r="AB42" s="211"/>
    </row>
    <row r="43" spans="1:28" s="37" customFormat="1" ht="21.75" customHeight="1">
      <c r="A43" s="31">
        <v>36</v>
      </c>
      <c r="B43" s="32" t="s">
        <v>33</v>
      </c>
      <c r="C43" s="77">
        <v>5</v>
      </c>
      <c r="D43" s="91">
        <v>7483</v>
      </c>
      <c r="E43" s="60">
        <v>88</v>
      </c>
      <c r="F43" s="33"/>
      <c r="G43" s="33"/>
      <c r="H43" s="60"/>
      <c r="I43" s="60">
        <v>7</v>
      </c>
      <c r="J43" s="33"/>
      <c r="K43" s="33"/>
      <c r="L43" s="60"/>
      <c r="M43" s="33">
        <v>1</v>
      </c>
      <c r="N43" s="94">
        <v>3347</v>
      </c>
      <c r="O43" s="79">
        <f t="shared" si="0"/>
        <v>2.236</v>
      </c>
      <c r="P43" s="217">
        <v>1.09</v>
      </c>
      <c r="Q43" s="49">
        <f t="shared" si="1"/>
        <v>478.6</v>
      </c>
      <c r="R43" s="49">
        <f t="shared" si="2"/>
        <v>0</v>
      </c>
      <c r="S43" s="49">
        <f t="shared" si="3"/>
        <v>0</v>
      </c>
      <c r="T43" s="49">
        <f t="shared" si="4"/>
        <v>0</v>
      </c>
      <c r="U43" s="49">
        <f t="shared" si="5"/>
        <v>38.1</v>
      </c>
      <c r="V43" s="49">
        <f t="shared" si="6"/>
        <v>0</v>
      </c>
      <c r="W43" s="49">
        <f t="shared" si="7"/>
        <v>0</v>
      </c>
      <c r="X43" s="49">
        <f t="shared" si="8"/>
        <v>0</v>
      </c>
      <c r="Y43" s="49">
        <f t="shared" si="9"/>
        <v>5.4</v>
      </c>
      <c r="Z43" s="49">
        <f t="shared" si="10"/>
        <v>522.1</v>
      </c>
      <c r="AA43" s="226"/>
      <c r="AB43" s="211"/>
    </row>
    <row r="44" spans="1:28" s="37" customFormat="1" ht="21" customHeight="1">
      <c r="A44" s="40">
        <v>37</v>
      </c>
      <c r="B44" s="32" t="s">
        <v>34</v>
      </c>
      <c r="C44" s="77">
        <v>6</v>
      </c>
      <c r="D44" s="91">
        <v>12299</v>
      </c>
      <c r="E44" s="60">
        <v>51</v>
      </c>
      <c r="F44" s="33"/>
      <c r="G44" s="33"/>
      <c r="H44" s="60"/>
      <c r="I44" s="60"/>
      <c r="J44" s="33"/>
      <c r="K44" s="33"/>
      <c r="L44" s="60"/>
      <c r="M44" s="33"/>
      <c r="N44" s="94">
        <v>3347</v>
      </c>
      <c r="O44" s="79">
        <f t="shared" si="0"/>
        <v>3.675</v>
      </c>
      <c r="P44" s="217">
        <v>1.089</v>
      </c>
      <c r="Q44" s="49">
        <f t="shared" si="1"/>
        <v>455.4</v>
      </c>
      <c r="R44" s="49">
        <f t="shared" si="2"/>
        <v>0</v>
      </c>
      <c r="S44" s="49">
        <f t="shared" si="3"/>
        <v>0</v>
      </c>
      <c r="T44" s="49">
        <f t="shared" si="4"/>
        <v>0</v>
      </c>
      <c r="U44" s="49">
        <f t="shared" si="5"/>
        <v>0</v>
      </c>
      <c r="V44" s="49">
        <f t="shared" si="6"/>
        <v>0</v>
      </c>
      <c r="W44" s="49">
        <f t="shared" si="7"/>
        <v>0</v>
      </c>
      <c r="X44" s="49">
        <f t="shared" si="8"/>
        <v>0</v>
      </c>
      <c r="Y44" s="49">
        <f t="shared" si="9"/>
        <v>0</v>
      </c>
      <c r="Z44" s="49">
        <f t="shared" si="10"/>
        <v>455.4</v>
      </c>
      <c r="AA44" s="226"/>
      <c r="AB44" s="211"/>
    </row>
    <row r="45" spans="1:28" s="37" customFormat="1" ht="31.5">
      <c r="A45" s="31">
        <v>38</v>
      </c>
      <c r="B45" s="32" t="s">
        <v>35</v>
      </c>
      <c r="C45" s="77">
        <v>5</v>
      </c>
      <c r="D45" s="91">
        <v>48127</v>
      </c>
      <c r="E45" s="134">
        <v>23</v>
      </c>
      <c r="F45" s="60"/>
      <c r="G45" s="60"/>
      <c r="H45" s="60"/>
      <c r="I45" s="60"/>
      <c r="J45" s="60"/>
      <c r="K45" s="33"/>
      <c r="L45" s="60"/>
      <c r="M45" s="33"/>
      <c r="N45" s="94">
        <v>3347</v>
      </c>
      <c r="O45" s="79">
        <f t="shared" si="0"/>
        <v>14.379</v>
      </c>
      <c r="P45" s="217">
        <v>1.065</v>
      </c>
      <c r="Q45" s="49">
        <f t="shared" si="1"/>
        <v>785.9</v>
      </c>
      <c r="R45" s="49">
        <f t="shared" si="2"/>
        <v>0</v>
      </c>
      <c r="S45" s="49">
        <f t="shared" si="3"/>
        <v>0</v>
      </c>
      <c r="T45" s="49">
        <f t="shared" si="4"/>
        <v>0</v>
      </c>
      <c r="U45" s="49">
        <f t="shared" si="5"/>
        <v>0</v>
      </c>
      <c r="V45" s="49">
        <f t="shared" si="6"/>
        <v>0</v>
      </c>
      <c r="W45" s="49">
        <f t="shared" si="7"/>
        <v>0</v>
      </c>
      <c r="X45" s="49">
        <f t="shared" si="8"/>
        <v>0</v>
      </c>
      <c r="Y45" s="49">
        <f t="shared" si="9"/>
        <v>0</v>
      </c>
      <c r="Z45" s="49">
        <f t="shared" si="10"/>
        <v>785.9</v>
      </c>
      <c r="AA45" s="226"/>
      <c r="AB45" s="211"/>
    </row>
    <row r="46" spans="1:28" s="37" customFormat="1" ht="16.5" thickBot="1">
      <c r="A46" s="40">
        <v>39</v>
      </c>
      <c r="B46" s="45" t="s">
        <v>36</v>
      </c>
      <c r="C46" s="77">
        <v>5</v>
      </c>
      <c r="D46" s="92">
        <v>36054</v>
      </c>
      <c r="E46" s="135">
        <v>27</v>
      </c>
      <c r="F46" s="60">
        <v>1</v>
      </c>
      <c r="G46" s="60"/>
      <c r="H46" s="60"/>
      <c r="I46" s="60"/>
      <c r="J46" s="60"/>
      <c r="K46" s="33"/>
      <c r="L46" s="60"/>
      <c r="M46" s="33"/>
      <c r="N46" s="94">
        <v>3347</v>
      </c>
      <c r="O46" s="79">
        <f t="shared" si="0"/>
        <v>10.772</v>
      </c>
      <c r="P46" s="217">
        <v>1.053</v>
      </c>
      <c r="Q46" s="49">
        <f t="shared" si="1"/>
        <v>683.4</v>
      </c>
      <c r="R46" s="49">
        <f t="shared" si="2"/>
        <v>25.3</v>
      </c>
      <c r="S46" s="49">
        <f t="shared" si="3"/>
        <v>0</v>
      </c>
      <c r="T46" s="49">
        <f t="shared" si="4"/>
        <v>0</v>
      </c>
      <c r="U46" s="49">
        <f t="shared" si="5"/>
        <v>0</v>
      </c>
      <c r="V46" s="49">
        <f t="shared" si="6"/>
        <v>0</v>
      </c>
      <c r="W46" s="49">
        <f t="shared" si="7"/>
        <v>0</v>
      </c>
      <c r="X46" s="49">
        <f t="shared" si="8"/>
        <v>0</v>
      </c>
      <c r="Y46" s="49">
        <f t="shared" si="9"/>
        <v>0</v>
      </c>
      <c r="Z46" s="49">
        <f t="shared" si="10"/>
        <v>708.6999999999999</v>
      </c>
      <c r="AA46" s="226"/>
      <c r="AB46" s="211"/>
    </row>
    <row r="47" spans="1:28" s="37" customFormat="1" ht="48" thickBot="1">
      <c r="A47" s="46"/>
      <c r="B47" s="78" t="s">
        <v>74</v>
      </c>
      <c r="C47" s="47"/>
      <c r="D47" s="47"/>
      <c r="E47" s="48">
        <f>SUM(E8:E46)</f>
        <v>4372</v>
      </c>
      <c r="F47" s="48">
        <f aca="true" t="shared" si="11" ref="F47:M47">SUM(F8:F46)</f>
        <v>30</v>
      </c>
      <c r="G47" s="48">
        <f t="shared" si="11"/>
        <v>11</v>
      </c>
      <c r="H47" s="48">
        <f t="shared" si="11"/>
        <v>3</v>
      </c>
      <c r="I47" s="48">
        <f t="shared" si="11"/>
        <v>51</v>
      </c>
      <c r="J47" s="48">
        <f t="shared" si="11"/>
        <v>10</v>
      </c>
      <c r="K47" s="48">
        <f t="shared" si="11"/>
        <v>8</v>
      </c>
      <c r="L47" s="48">
        <f t="shared" si="11"/>
        <v>18</v>
      </c>
      <c r="M47" s="48">
        <f t="shared" si="11"/>
        <v>16</v>
      </c>
      <c r="N47" s="72"/>
      <c r="O47" s="72"/>
      <c r="P47" s="72"/>
      <c r="Q47" s="49">
        <f>SUM(Q8:Q46)</f>
        <v>35856.5</v>
      </c>
      <c r="R47" s="49">
        <f aca="true" t="shared" si="12" ref="R47:Z47">SUM(R8:R46)</f>
        <v>313.7</v>
      </c>
      <c r="S47" s="49">
        <f t="shared" si="12"/>
        <v>101.2</v>
      </c>
      <c r="T47" s="49">
        <f t="shared" si="12"/>
        <v>48.199999999999996</v>
      </c>
      <c r="U47" s="49">
        <f t="shared" si="12"/>
        <v>519</v>
      </c>
      <c r="V47" s="49">
        <f t="shared" si="12"/>
        <v>66.10000000000001</v>
      </c>
      <c r="W47" s="49">
        <f t="shared" si="12"/>
        <v>42.6</v>
      </c>
      <c r="X47" s="49">
        <f t="shared" si="12"/>
        <v>182.8</v>
      </c>
      <c r="Y47" s="49">
        <f t="shared" si="12"/>
        <v>97.4</v>
      </c>
      <c r="Z47" s="49">
        <f t="shared" si="12"/>
        <v>37227.5</v>
      </c>
      <c r="AA47" s="67"/>
      <c r="AB47" s="67"/>
    </row>
    <row r="48" spans="1:28" s="5" customFormat="1" ht="18" customHeight="1">
      <c r="A48" s="6"/>
      <c r="B48" s="7"/>
      <c r="C48" s="7"/>
      <c r="D48" s="7"/>
      <c r="E48" s="7">
        <f>SUM(E47:M47)</f>
        <v>4519</v>
      </c>
      <c r="F48" s="7"/>
      <c r="G48" s="7"/>
      <c r="H48" s="7"/>
      <c r="I48" s="7"/>
      <c r="J48" s="7"/>
      <c r="K48" s="7"/>
      <c r="L48" s="7"/>
      <c r="M48" s="7"/>
      <c r="N48" s="8"/>
      <c r="O48" s="8"/>
      <c r="P48" s="8"/>
      <c r="Z48" s="50">
        <f>SUM(Q47:Y47)</f>
        <v>37227.49999999999</v>
      </c>
      <c r="AA48" s="62"/>
      <c r="AB48" s="62"/>
    </row>
    <row r="49" spans="1:28" s="5" customFormat="1" ht="15.75">
      <c r="A49" s="9"/>
      <c r="B49" s="10"/>
      <c r="C49" s="10"/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AA49" s="62"/>
      <c r="AB49" s="62"/>
    </row>
    <row r="50" spans="1:28" s="5" customFormat="1" ht="15.75">
      <c r="A50" s="9"/>
      <c r="B50" s="10"/>
      <c r="C50" s="10"/>
      <c r="D50" s="1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Z50" s="55"/>
      <c r="AA50" s="62"/>
      <c r="AB50" s="62"/>
    </row>
    <row r="51" spans="1:28" s="5" customFormat="1" ht="15.75">
      <c r="A51" s="9"/>
      <c r="B51" s="10"/>
      <c r="C51" s="10"/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AA51" s="62"/>
      <c r="AB51" s="62"/>
    </row>
    <row r="52" spans="1:28" s="5" customFormat="1" ht="15.75">
      <c r="A52" s="9"/>
      <c r="B52" s="10"/>
      <c r="C52" s="10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AA52" s="62"/>
      <c r="AB52" s="62"/>
    </row>
    <row r="53" spans="1:28" s="5" customFormat="1" ht="15.75">
      <c r="A53" s="9"/>
      <c r="B53" s="12"/>
      <c r="C53" s="12"/>
      <c r="D53" s="1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AA53" s="62"/>
      <c r="AB53" s="62"/>
    </row>
    <row r="54" spans="1:28" s="5" customFormat="1" ht="15.75">
      <c r="A54" s="9"/>
      <c r="B54" s="12"/>
      <c r="C54" s="12"/>
      <c r="D54" s="1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AA54" s="62"/>
      <c r="AB54" s="62"/>
    </row>
    <row r="55" spans="1:28" s="5" customFormat="1" ht="16.5" customHeight="1">
      <c r="A55" s="9"/>
      <c r="B55" s="10"/>
      <c r="C55" s="10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AA55" s="62"/>
      <c r="AB55" s="62"/>
    </row>
    <row r="56" spans="1:28" s="5" customFormat="1" ht="15.75">
      <c r="A56" s="9"/>
      <c r="B56" s="10"/>
      <c r="C56" s="10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AA56" s="62"/>
      <c r="AB56" s="62"/>
    </row>
    <row r="57" spans="1:28" s="5" customFormat="1" ht="15.75">
      <c r="A57" s="9"/>
      <c r="B57" s="10"/>
      <c r="C57" s="10"/>
      <c r="D57" s="1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AA57" s="62"/>
      <c r="AB57" s="62"/>
    </row>
    <row r="58" spans="1:28" s="5" customFormat="1" ht="15.75">
      <c r="A58" s="9"/>
      <c r="B58" s="10"/>
      <c r="C58" s="10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AA58" s="62"/>
      <c r="AB58" s="62"/>
    </row>
    <row r="59" spans="1:28" s="5" customFormat="1" ht="15.75">
      <c r="A59" s="9"/>
      <c r="B59" s="10"/>
      <c r="C59" s="10"/>
      <c r="D59" s="10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AA59" s="62"/>
      <c r="AB59" s="62"/>
    </row>
    <row r="60" spans="1:28" s="5" customFormat="1" ht="15.75">
      <c r="A60" s="9"/>
      <c r="B60" s="10"/>
      <c r="C60" s="10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AA60" s="62"/>
      <c r="AB60" s="62"/>
    </row>
    <row r="61" spans="1:28" s="5" customFormat="1" ht="15.75">
      <c r="A61" s="9"/>
      <c r="B61" s="13"/>
      <c r="C61" s="13"/>
      <c r="D61" s="13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AA61" s="62"/>
      <c r="AB61" s="62"/>
    </row>
    <row r="62" spans="1:28" s="15" customFormat="1" ht="16.5" customHeight="1">
      <c r="A62" s="239"/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124"/>
      <c r="O62" s="124"/>
      <c r="P62" s="206"/>
      <c r="AA62" s="64"/>
      <c r="AB62" s="64"/>
    </row>
    <row r="63" spans="1:16" ht="15.75">
      <c r="A63" s="9"/>
      <c r="B63" s="12"/>
      <c r="C63" s="12"/>
      <c r="D63" s="1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ht="15.75">
      <c r="A64" s="9"/>
      <c r="B64" s="12"/>
      <c r="C64" s="12"/>
      <c r="D64" s="1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ht="15.75">
      <c r="A65" s="9"/>
      <c r="B65" s="12"/>
      <c r="C65" s="12"/>
      <c r="D65" s="1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ht="15.75">
      <c r="A66" s="9"/>
      <c r="B66" s="12"/>
      <c r="C66" s="12"/>
      <c r="D66" s="1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 ht="18" customHeight="1">
      <c r="A67" s="9"/>
      <c r="B67" s="12"/>
      <c r="C67" s="12"/>
      <c r="D67" s="1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 ht="15.75">
      <c r="A68" s="9"/>
      <c r="B68" s="12"/>
      <c r="C68" s="12"/>
      <c r="D68" s="1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 ht="15.75">
      <c r="A69" s="9"/>
      <c r="B69" s="12"/>
      <c r="C69" s="12"/>
      <c r="D69" s="1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ht="15.75">
      <c r="A70" s="9"/>
      <c r="B70" s="12"/>
      <c r="C70" s="12"/>
      <c r="D70" s="1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 ht="15.75">
      <c r="A71" s="9"/>
      <c r="B71" s="12"/>
      <c r="C71" s="12"/>
      <c r="D71" s="1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 ht="15.75">
      <c r="A72" s="9"/>
      <c r="B72" s="12"/>
      <c r="C72" s="12"/>
      <c r="D72" s="12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6" ht="15.75">
      <c r="A73" s="9"/>
      <c r="B73" s="10"/>
      <c r="C73" s="10"/>
      <c r="D73" s="10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6" ht="15.75">
      <c r="A74" s="9"/>
      <c r="B74" s="10"/>
      <c r="C74" s="10"/>
      <c r="D74" s="10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 ht="15.75">
      <c r="A75" s="9"/>
      <c r="B75" s="10"/>
      <c r="C75" s="10"/>
      <c r="D75" s="10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ht="15.75">
      <c r="A76" s="9"/>
      <c r="B76" s="10"/>
      <c r="C76" s="10"/>
      <c r="D76" s="10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6" ht="15.75">
      <c r="A77" s="9"/>
      <c r="B77" s="10"/>
      <c r="C77" s="10"/>
      <c r="D77" s="10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1:16" ht="15.75">
      <c r="A78" s="9"/>
      <c r="B78" s="10"/>
      <c r="C78" s="10"/>
      <c r="D78" s="10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 ht="15.75">
      <c r="A79" s="9"/>
      <c r="B79" s="10"/>
      <c r="C79" s="10"/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 ht="15.75">
      <c r="A80" s="9"/>
      <c r="B80" s="10"/>
      <c r="C80" s="10"/>
      <c r="D80" s="10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 ht="15.75">
      <c r="A81" s="9"/>
      <c r="B81" s="10"/>
      <c r="C81" s="10"/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1:16" ht="15.75">
      <c r="A82" s="9"/>
      <c r="B82" s="10"/>
      <c r="C82" s="10"/>
      <c r="D82" s="10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ht="15.75">
      <c r="A83" s="9"/>
      <c r="B83" s="10"/>
      <c r="C83" s="10"/>
      <c r="D83" s="10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1:16" ht="15.75">
      <c r="A84" s="9"/>
      <c r="B84" s="10"/>
      <c r="C84" s="10"/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1:16" ht="15.75">
      <c r="A85" s="9"/>
      <c r="B85" s="10"/>
      <c r="C85" s="10"/>
      <c r="D85" s="10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1:16" ht="15.75">
      <c r="A86" s="9"/>
      <c r="B86" s="10"/>
      <c r="C86" s="10"/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1:16" ht="15.75">
      <c r="A87" s="9"/>
      <c r="B87" s="10"/>
      <c r="C87" s="10"/>
      <c r="D87" s="10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1:16" ht="15.75">
      <c r="A88" s="9"/>
      <c r="B88" s="10"/>
      <c r="C88" s="10"/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1:16" ht="15.75">
      <c r="A89" s="9"/>
      <c r="B89" s="10"/>
      <c r="C89" s="10"/>
      <c r="D89" s="10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6" ht="15.75">
      <c r="A90" s="9"/>
      <c r="B90" s="10"/>
      <c r="C90" s="10"/>
      <c r="D90" s="10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1:16" ht="15.75">
      <c r="A91" s="9"/>
      <c r="B91" s="10"/>
      <c r="C91" s="10"/>
      <c r="D91" s="10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1:16" ht="15.75">
      <c r="A92" s="9"/>
      <c r="B92" s="10"/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1:16" ht="15.75">
      <c r="A93" s="9"/>
      <c r="B93" s="10"/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 ht="15.75">
      <c r="A94" s="9"/>
      <c r="B94" s="10"/>
      <c r="C94" s="10"/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ht="15.75">
      <c r="A95" s="9"/>
      <c r="B95" s="10"/>
      <c r="C95" s="10"/>
      <c r="D95" s="10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ht="15.75">
      <c r="A96" s="9"/>
      <c r="B96" s="10"/>
      <c r="C96" s="10"/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16" ht="15.75">
      <c r="A97" s="9"/>
      <c r="B97" s="10"/>
      <c r="C97" s="10"/>
      <c r="D97" s="10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16" ht="15.75">
      <c r="A98" s="9"/>
      <c r="B98" s="10"/>
      <c r="C98" s="10"/>
      <c r="D98" s="10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1:16" ht="15.75">
      <c r="A99" s="9"/>
      <c r="B99" s="10"/>
      <c r="C99" s="10"/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16" ht="15.75">
      <c r="A100" s="9"/>
      <c r="B100" s="10"/>
      <c r="C100" s="10"/>
      <c r="D100" s="10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1:16" ht="15.75">
      <c r="A101" s="9"/>
      <c r="B101" s="10"/>
      <c r="C101" s="10"/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1:16" ht="15.75">
      <c r="A102" s="9"/>
      <c r="B102" s="10"/>
      <c r="C102" s="10"/>
      <c r="D102" s="10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1:16" ht="15.75">
      <c r="A103" s="9"/>
      <c r="B103" s="10"/>
      <c r="C103" s="10"/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6" ht="15.75">
      <c r="A104" s="9"/>
      <c r="B104" s="10"/>
      <c r="C104" s="10"/>
      <c r="D104" s="10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 ht="15.75">
      <c r="A105" s="9"/>
      <c r="B105" s="10"/>
      <c r="C105" s="10"/>
      <c r="D105" s="10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 ht="15.75">
      <c r="A106" s="9"/>
      <c r="B106" s="10"/>
      <c r="C106" s="10"/>
      <c r="D106" s="10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16" ht="15.75">
      <c r="A107" s="17"/>
      <c r="B107" s="18"/>
      <c r="C107" s="18"/>
      <c r="D107" s="18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ht="18.75">
      <c r="A108" s="19"/>
      <c r="B108" s="19"/>
      <c r="C108" s="19"/>
      <c r="D108" s="19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1:16" ht="15.75">
      <c r="A109" s="17"/>
      <c r="B109" s="17"/>
      <c r="C109" s="17"/>
      <c r="D109" s="17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</sheetData>
  <sheetProtection/>
  <mergeCells count="18">
    <mergeCell ref="N3:N7"/>
    <mergeCell ref="O3:O7"/>
    <mergeCell ref="AA5:AA7"/>
    <mergeCell ref="AA4:AB4"/>
    <mergeCell ref="AB5:AB7"/>
    <mergeCell ref="Q5:Y5"/>
    <mergeCell ref="Z5:Z7"/>
    <mergeCell ref="Q3:Z4"/>
    <mergeCell ref="P3:P7"/>
    <mergeCell ref="A62:M62"/>
    <mergeCell ref="A1:M1"/>
    <mergeCell ref="E4:M4"/>
    <mergeCell ref="A3:A7"/>
    <mergeCell ref="B3:B5"/>
    <mergeCell ref="C3:C7"/>
    <mergeCell ref="B6:B7"/>
    <mergeCell ref="E3:M3"/>
    <mergeCell ref="D3:D7"/>
  </mergeCells>
  <printOptions horizontalCentered="1"/>
  <pageMargins left="0" right="0" top="0" bottom="0" header="0" footer="0"/>
  <pageSetup horizontalDpi="600" verticalDpi="600" orientation="landscape" paperSize="9" scale="50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109"/>
  <sheetViews>
    <sheetView view="pageBreakPreview" zoomScale="69" zoomScaleNormal="74" zoomScaleSheetLayoutView="69" zoomScalePageLayoutView="0" workbookViewId="0" topLeftCell="A1">
      <pane xSplit="2" ySplit="7" topLeftCell="M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W1" sqref="W1:X16384"/>
    </sheetView>
  </sheetViews>
  <sheetFormatPr defaultColWidth="9.140625" defaultRowHeight="12.75"/>
  <cols>
    <col min="1" max="1" width="9.00390625" style="3" customWidth="1"/>
    <col min="2" max="2" width="24.00390625" style="3" customWidth="1"/>
    <col min="3" max="4" width="13.00390625" style="3" customWidth="1"/>
    <col min="5" max="5" width="22.28125" style="4" customWidth="1"/>
    <col min="6" max="6" width="24.140625" style="4" customWidth="1"/>
    <col min="7" max="8" width="17.7109375" style="4" customWidth="1"/>
    <col min="9" max="9" width="19.421875" style="4" customWidth="1"/>
    <col min="10" max="11" width="18.28125" style="4" customWidth="1"/>
    <col min="12" max="14" width="29.7109375" style="4" customWidth="1"/>
    <col min="15" max="15" width="17.57421875" style="16" customWidth="1"/>
    <col min="16" max="17" width="18.00390625" style="16" customWidth="1"/>
    <col min="18" max="18" width="14.140625" style="16" customWidth="1"/>
    <col min="19" max="19" width="14.57421875" style="16" customWidth="1"/>
    <col min="20" max="20" width="12.421875" style="16" customWidth="1"/>
    <col min="21" max="21" width="13.7109375" style="16" customWidth="1"/>
    <col min="22" max="22" width="15.00390625" style="16" customWidth="1"/>
    <col min="23" max="23" width="16.7109375" style="65" customWidth="1"/>
    <col min="24" max="24" width="14.28125" style="65" customWidth="1"/>
    <col min="25" max="16384" width="9.140625" style="16" customWidth="1"/>
  </cols>
  <sheetData>
    <row r="1" spans="1:24" s="5" customFormat="1" ht="18.75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71"/>
      <c r="M1" s="73"/>
      <c r="N1" s="208" t="s">
        <v>81</v>
      </c>
      <c r="O1" s="208"/>
      <c r="W1" s="62"/>
      <c r="X1" s="62"/>
    </row>
    <row r="2" spans="1:24" s="5" customFormat="1" ht="15.7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W2" s="62"/>
      <c r="X2" s="62"/>
    </row>
    <row r="3" spans="1:24" s="81" customFormat="1" ht="38.25" customHeight="1">
      <c r="A3" s="244" t="s">
        <v>75</v>
      </c>
      <c r="B3" s="237" t="s">
        <v>71</v>
      </c>
      <c r="C3" s="237" t="s">
        <v>72</v>
      </c>
      <c r="D3" s="254" t="s">
        <v>79</v>
      </c>
      <c r="E3" s="258" t="s">
        <v>73</v>
      </c>
      <c r="F3" s="259"/>
      <c r="G3" s="259"/>
      <c r="H3" s="259"/>
      <c r="I3" s="259"/>
      <c r="J3" s="259"/>
      <c r="K3" s="259"/>
      <c r="L3" s="243" t="s">
        <v>77</v>
      </c>
      <c r="M3" s="243" t="s">
        <v>78</v>
      </c>
      <c r="N3" s="243" t="s">
        <v>91</v>
      </c>
      <c r="O3" s="247" t="s">
        <v>86</v>
      </c>
      <c r="P3" s="248"/>
      <c r="Q3" s="248"/>
      <c r="R3" s="248"/>
      <c r="S3" s="248"/>
      <c r="T3" s="248"/>
      <c r="U3" s="248"/>
      <c r="V3" s="249"/>
      <c r="W3" s="236"/>
      <c r="X3" s="237"/>
    </row>
    <row r="4" spans="1:24" s="81" customFormat="1" ht="47.25" customHeight="1">
      <c r="A4" s="245"/>
      <c r="B4" s="238"/>
      <c r="C4" s="238"/>
      <c r="D4" s="255"/>
      <c r="E4" s="258" t="s">
        <v>40</v>
      </c>
      <c r="F4" s="259"/>
      <c r="G4" s="259"/>
      <c r="H4" s="259"/>
      <c r="I4" s="259"/>
      <c r="J4" s="259"/>
      <c r="K4" s="259"/>
      <c r="L4" s="243"/>
      <c r="M4" s="243"/>
      <c r="N4" s="243"/>
      <c r="O4" s="250"/>
      <c r="P4" s="251"/>
      <c r="Q4" s="251"/>
      <c r="R4" s="251"/>
      <c r="S4" s="251"/>
      <c r="T4" s="251"/>
      <c r="U4" s="251"/>
      <c r="V4" s="252"/>
      <c r="W4" s="236"/>
      <c r="X4" s="238"/>
    </row>
    <row r="5" spans="1:24" s="81" customFormat="1" ht="65.25" customHeight="1">
      <c r="A5" s="245"/>
      <c r="B5" s="238"/>
      <c r="C5" s="238"/>
      <c r="D5" s="255"/>
      <c r="E5" s="82" t="s">
        <v>53</v>
      </c>
      <c r="F5" s="82" t="s">
        <v>57</v>
      </c>
      <c r="G5" s="82" t="s">
        <v>57</v>
      </c>
      <c r="H5" s="82" t="s">
        <v>53</v>
      </c>
      <c r="I5" s="82" t="s">
        <v>53</v>
      </c>
      <c r="J5" s="82" t="s">
        <v>53</v>
      </c>
      <c r="K5" s="82" t="s">
        <v>41</v>
      </c>
      <c r="L5" s="243"/>
      <c r="M5" s="243"/>
      <c r="N5" s="243"/>
      <c r="O5" s="253" t="s">
        <v>40</v>
      </c>
      <c r="P5" s="253"/>
      <c r="Q5" s="253"/>
      <c r="R5" s="253"/>
      <c r="S5" s="253"/>
      <c r="T5" s="253"/>
      <c r="U5" s="253"/>
      <c r="V5" s="236" t="s">
        <v>86</v>
      </c>
      <c r="W5" s="236"/>
      <c r="X5" s="238"/>
    </row>
    <row r="6" spans="1:24" s="81" customFormat="1" ht="93" customHeight="1">
      <c r="A6" s="245"/>
      <c r="B6" s="236" t="s">
        <v>70</v>
      </c>
      <c r="C6" s="238"/>
      <c r="D6" s="255"/>
      <c r="E6" s="82" t="s">
        <v>43</v>
      </c>
      <c r="F6" s="82" t="s">
        <v>43</v>
      </c>
      <c r="G6" s="82" t="s">
        <v>42</v>
      </c>
      <c r="H6" s="82" t="s">
        <v>42</v>
      </c>
      <c r="I6" s="82" t="s">
        <v>58</v>
      </c>
      <c r="J6" s="82" t="s">
        <v>56</v>
      </c>
      <c r="K6" s="82" t="s">
        <v>58</v>
      </c>
      <c r="L6" s="243"/>
      <c r="M6" s="243"/>
      <c r="N6" s="243"/>
      <c r="O6" s="82" t="s">
        <v>53</v>
      </c>
      <c r="P6" s="82" t="s">
        <v>61</v>
      </c>
      <c r="Q6" s="82" t="s">
        <v>57</v>
      </c>
      <c r="R6" s="82" t="s">
        <v>53</v>
      </c>
      <c r="S6" s="82" t="s">
        <v>53</v>
      </c>
      <c r="T6" s="82" t="s">
        <v>53</v>
      </c>
      <c r="U6" s="82" t="s">
        <v>41</v>
      </c>
      <c r="V6" s="236"/>
      <c r="W6" s="236"/>
      <c r="X6" s="238"/>
    </row>
    <row r="7" spans="1:24" s="81" customFormat="1" ht="88.5" customHeight="1">
      <c r="A7" s="246"/>
      <c r="B7" s="236"/>
      <c r="C7" s="240"/>
      <c r="D7" s="256"/>
      <c r="E7" s="83" t="s">
        <v>69</v>
      </c>
      <c r="F7" s="83" t="s">
        <v>69</v>
      </c>
      <c r="G7" s="83" t="s">
        <v>69</v>
      </c>
      <c r="H7" s="83" t="s">
        <v>69</v>
      </c>
      <c r="I7" s="83" t="s">
        <v>69</v>
      </c>
      <c r="J7" s="83" t="s">
        <v>69</v>
      </c>
      <c r="K7" s="83" t="s">
        <v>69</v>
      </c>
      <c r="L7" s="243"/>
      <c r="M7" s="243"/>
      <c r="N7" s="243"/>
      <c r="O7" s="83" t="s">
        <v>43</v>
      </c>
      <c r="P7" s="83" t="s">
        <v>43</v>
      </c>
      <c r="Q7" s="82" t="s">
        <v>42</v>
      </c>
      <c r="R7" s="82" t="s">
        <v>42</v>
      </c>
      <c r="S7" s="82" t="s">
        <v>58</v>
      </c>
      <c r="T7" s="82" t="s">
        <v>56</v>
      </c>
      <c r="U7" s="82" t="s">
        <v>58</v>
      </c>
      <c r="V7" s="236"/>
      <c r="W7" s="236"/>
      <c r="X7" s="240"/>
    </row>
    <row r="8" spans="1:24" s="37" customFormat="1" ht="15.75">
      <c r="A8" s="40">
        <v>1</v>
      </c>
      <c r="B8" s="41" t="s">
        <v>0</v>
      </c>
      <c r="C8" s="77">
        <v>5</v>
      </c>
      <c r="D8" s="91">
        <v>6226</v>
      </c>
      <c r="E8" s="36">
        <v>7</v>
      </c>
      <c r="F8" s="36">
        <v>9</v>
      </c>
      <c r="G8" s="36"/>
      <c r="H8" s="36"/>
      <c r="I8" s="36"/>
      <c r="J8" s="36"/>
      <c r="K8" s="36"/>
      <c r="L8" s="93">
        <v>3347</v>
      </c>
      <c r="M8" s="79">
        <f>ROUND(D8/L8,3)</f>
        <v>1.86</v>
      </c>
      <c r="N8" s="217">
        <v>1.03</v>
      </c>
      <c r="O8" s="49">
        <f>ROUND(E8*L8*M8/1000*N8*8/12,1)</f>
        <v>29.9</v>
      </c>
      <c r="P8" s="49">
        <f>ROUND(F8*L8*M8/1000*8*N8/12,1)</f>
        <v>38.5</v>
      </c>
      <c r="Q8" s="49">
        <f>ROUND(G8/1000*M8*L8*N8*8/12,1)</f>
        <v>0</v>
      </c>
      <c r="R8" s="49">
        <f>ROUND(H8*L8*M8*N8/1000*8/12,1)</f>
        <v>0</v>
      </c>
      <c r="S8" s="49">
        <f>ROUND(I8*L8*M8*N8/1000*8/12,1)</f>
        <v>0</v>
      </c>
      <c r="T8" s="49">
        <f>ROUND(J8*L8*M8/1000*8*N8/12,1)</f>
        <v>0</v>
      </c>
      <c r="U8" s="49">
        <f>ROUND(K8*L8*M8/1000*8*N8/12,1)</f>
        <v>0</v>
      </c>
      <c r="V8" s="49">
        <f>SUM(O8:U8)</f>
        <v>68.4</v>
      </c>
      <c r="W8" s="212"/>
      <c r="X8" s="228"/>
    </row>
    <row r="9" spans="1:24" s="37" customFormat="1" ht="15.75">
      <c r="A9" s="31">
        <v>2</v>
      </c>
      <c r="B9" s="41" t="s">
        <v>60</v>
      </c>
      <c r="C9" s="77">
        <v>6</v>
      </c>
      <c r="D9" s="91">
        <v>5886</v>
      </c>
      <c r="E9" s="33">
        <v>41</v>
      </c>
      <c r="F9" s="33">
        <v>38</v>
      </c>
      <c r="G9" s="33">
        <v>1</v>
      </c>
      <c r="H9" s="33"/>
      <c r="I9" s="33"/>
      <c r="J9" s="33">
        <v>1</v>
      </c>
      <c r="K9" s="33"/>
      <c r="L9" s="93">
        <v>3347</v>
      </c>
      <c r="M9" s="79">
        <f aca="true" t="shared" si="0" ref="M9:M46">ROUND(D9/L9,3)</f>
        <v>1.759</v>
      </c>
      <c r="N9" s="217">
        <v>1.04</v>
      </c>
      <c r="O9" s="49">
        <f aca="true" t="shared" si="1" ref="O9:O46">ROUND(E9*L9*M9/1000*N9*8/12,1)</f>
        <v>167.4</v>
      </c>
      <c r="P9" s="49">
        <f aca="true" t="shared" si="2" ref="P9:P46">ROUND(F9*L9*M9/1000*8*N9/12,1)</f>
        <v>155.1</v>
      </c>
      <c r="Q9" s="49">
        <f aca="true" t="shared" si="3" ref="Q9:Q46">ROUND(G9/1000*M9*L9*N9*8/12,1)</f>
        <v>4.1</v>
      </c>
      <c r="R9" s="49">
        <f aca="true" t="shared" si="4" ref="R9:R46">ROUND(H9*L9*M9*N9/1000*8/12,1)</f>
        <v>0</v>
      </c>
      <c r="S9" s="49">
        <f aca="true" t="shared" si="5" ref="S9:S46">ROUND(I9*L9*M9*N9/1000*8/12,1)</f>
        <v>0</v>
      </c>
      <c r="T9" s="49">
        <f aca="true" t="shared" si="6" ref="T9:T46">ROUND(J9*L9*M9/1000*8*N9/12,1)</f>
        <v>4.1</v>
      </c>
      <c r="U9" s="49">
        <f aca="true" t="shared" si="7" ref="U9:U46">ROUND(K9*L9*M9/1000*8*N9/12,1)</f>
        <v>0</v>
      </c>
      <c r="V9" s="49">
        <f aca="true" t="shared" si="8" ref="V9:V46">SUM(O9:U9)</f>
        <v>330.70000000000005</v>
      </c>
      <c r="W9" s="212"/>
      <c r="X9" s="228"/>
    </row>
    <row r="10" spans="1:24" s="37" customFormat="1" ht="15.75">
      <c r="A10" s="31">
        <v>3</v>
      </c>
      <c r="B10" s="41" t="s">
        <v>1</v>
      </c>
      <c r="C10" s="77">
        <v>6</v>
      </c>
      <c r="D10" s="91">
        <v>3347</v>
      </c>
      <c r="E10" s="33">
        <v>36</v>
      </c>
      <c r="F10" s="33"/>
      <c r="G10" s="33"/>
      <c r="H10" s="33"/>
      <c r="I10" s="33"/>
      <c r="J10" s="33"/>
      <c r="K10" s="33"/>
      <c r="L10" s="93">
        <v>3347</v>
      </c>
      <c r="M10" s="79">
        <f t="shared" si="0"/>
        <v>1</v>
      </c>
      <c r="N10" s="217">
        <v>1.035</v>
      </c>
      <c r="O10" s="49">
        <f t="shared" si="1"/>
        <v>83.1</v>
      </c>
      <c r="P10" s="49">
        <f t="shared" si="2"/>
        <v>0</v>
      </c>
      <c r="Q10" s="49">
        <f t="shared" si="3"/>
        <v>0</v>
      </c>
      <c r="R10" s="49">
        <f t="shared" si="4"/>
        <v>0</v>
      </c>
      <c r="S10" s="49">
        <f t="shared" si="5"/>
        <v>0</v>
      </c>
      <c r="T10" s="49">
        <f t="shared" si="6"/>
        <v>0</v>
      </c>
      <c r="U10" s="49">
        <f t="shared" si="7"/>
        <v>0</v>
      </c>
      <c r="V10" s="49">
        <f t="shared" si="8"/>
        <v>83.1</v>
      </c>
      <c r="W10" s="212"/>
      <c r="X10" s="228"/>
    </row>
    <row r="11" spans="1:24" s="37" customFormat="1" ht="15.75">
      <c r="A11" s="40">
        <v>4</v>
      </c>
      <c r="B11" s="41" t="s">
        <v>2</v>
      </c>
      <c r="C11" s="77">
        <v>5</v>
      </c>
      <c r="D11" s="91">
        <v>7575</v>
      </c>
      <c r="E11" s="66">
        <v>23</v>
      </c>
      <c r="F11" s="66"/>
      <c r="G11" s="66"/>
      <c r="H11" s="66"/>
      <c r="I11" s="66"/>
      <c r="J11" s="66"/>
      <c r="K11" s="66"/>
      <c r="L11" s="93">
        <v>3347</v>
      </c>
      <c r="M11" s="79">
        <f t="shared" si="0"/>
        <v>2.263</v>
      </c>
      <c r="N11" s="217">
        <v>1.051</v>
      </c>
      <c r="O11" s="49">
        <f t="shared" si="1"/>
        <v>122.1</v>
      </c>
      <c r="P11" s="49">
        <f t="shared" si="2"/>
        <v>0</v>
      </c>
      <c r="Q11" s="49">
        <f t="shared" si="3"/>
        <v>0</v>
      </c>
      <c r="R11" s="49">
        <f t="shared" si="4"/>
        <v>0</v>
      </c>
      <c r="S11" s="49">
        <f t="shared" si="5"/>
        <v>0</v>
      </c>
      <c r="T11" s="49">
        <f t="shared" si="6"/>
        <v>0</v>
      </c>
      <c r="U11" s="49">
        <f t="shared" si="7"/>
        <v>0</v>
      </c>
      <c r="V11" s="49">
        <f t="shared" si="8"/>
        <v>122.1</v>
      </c>
      <c r="W11" s="212"/>
      <c r="X11" s="228"/>
    </row>
    <row r="12" spans="1:24" s="37" customFormat="1" ht="15.75">
      <c r="A12" s="31">
        <v>5</v>
      </c>
      <c r="B12" s="41" t="s">
        <v>59</v>
      </c>
      <c r="C12" s="77">
        <v>5</v>
      </c>
      <c r="D12" s="91">
        <v>7467</v>
      </c>
      <c r="E12" s="33"/>
      <c r="F12" s="33"/>
      <c r="G12" s="33"/>
      <c r="H12" s="33"/>
      <c r="I12" s="33"/>
      <c r="J12" s="33"/>
      <c r="K12" s="33"/>
      <c r="L12" s="93">
        <v>3347</v>
      </c>
      <c r="M12" s="79">
        <f t="shared" si="0"/>
        <v>2.231</v>
      </c>
      <c r="N12" s="217">
        <v>1.07</v>
      </c>
      <c r="O12" s="49">
        <f t="shared" si="1"/>
        <v>0</v>
      </c>
      <c r="P12" s="49">
        <f t="shared" si="2"/>
        <v>0</v>
      </c>
      <c r="Q12" s="49">
        <f t="shared" si="3"/>
        <v>0</v>
      </c>
      <c r="R12" s="49">
        <f t="shared" si="4"/>
        <v>0</v>
      </c>
      <c r="S12" s="49">
        <f t="shared" si="5"/>
        <v>0</v>
      </c>
      <c r="T12" s="49">
        <f t="shared" si="6"/>
        <v>0</v>
      </c>
      <c r="U12" s="49">
        <f t="shared" si="7"/>
        <v>0</v>
      </c>
      <c r="V12" s="49">
        <f t="shared" si="8"/>
        <v>0</v>
      </c>
      <c r="W12" s="212"/>
      <c r="X12" s="228"/>
    </row>
    <row r="13" spans="1:24" s="37" customFormat="1" ht="15.75">
      <c r="A13" s="31">
        <v>6</v>
      </c>
      <c r="B13" s="41" t="s">
        <v>3</v>
      </c>
      <c r="C13" s="77">
        <v>5</v>
      </c>
      <c r="D13" s="91">
        <v>4342</v>
      </c>
      <c r="E13" s="33">
        <v>36</v>
      </c>
      <c r="F13" s="33"/>
      <c r="G13" s="33"/>
      <c r="H13" s="33"/>
      <c r="I13" s="33">
        <v>1</v>
      </c>
      <c r="J13" s="33">
        <v>1</v>
      </c>
      <c r="K13" s="33">
        <v>1</v>
      </c>
      <c r="L13" s="93">
        <v>3347</v>
      </c>
      <c r="M13" s="79">
        <f t="shared" si="0"/>
        <v>1.297</v>
      </c>
      <c r="N13" s="217">
        <v>1.034</v>
      </c>
      <c r="O13" s="49">
        <f t="shared" si="1"/>
        <v>107.7</v>
      </c>
      <c r="P13" s="49">
        <f t="shared" si="2"/>
        <v>0</v>
      </c>
      <c r="Q13" s="49">
        <f t="shared" si="3"/>
        <v>0</v>
      </c>
      <c r="R13" s="49">
        <f t="shared" si="4"/>
        <v>0</v>
      </c>
      <c r="S13" s="49">
        <f t="shared" si="5"/>
        <v>3</v>
      </c>
      <c r="T13" s="49">
        <f t="shared" si="6"/>
        <v>3</v>
      </c>
      <c r="U13" s="49">
        <f t="shared" si="7"/>
        <v>3</v>
      </c>
      <c r="V13" s="49">
        <f t="shared" si="8"/>
        <v>116.7</v>
      </c>
      <c r="W13" s="212"/>
      <c r="X13" s="228"/>
    </row>
    <row r="14" spans="1:24" s="37" customFormat="1" ht="15.75" customHeight="1">
      <c r="A14" s="40">
        <v>7</v>
      </c>
      <c r="B14" s="41" t="s">
        <v>4</v>
      </c>
      <c r="C14" s="77">
        <v>5</v>
      </c>
      <c r="D14" s="91">
        <v>3715</v>
      </c>
      <c r="E14" s="33">
        <v>44</v>
      </c>
      <c r="F14" s="33">
        <v>38</v>
      </c>
      <c r="G14" s="33"/>
      <c r="H14" s="33"/>
      <c r="I14" s="33"/>
      <c r="J14" s="33"/>
      <c r="K14" s="33"/>
      <c r="L14" s="93">
        <v>3347</v>
      </c>
      <c r="M14" s="79">
        <f t="shared" si="0"/>
        <v>1.11</v>
      </c>
      <c r="N14" s="217">
        <v>1.032</v>
      </c>
      <c r="O14" s="49">
        <f t="shared" si="1"/>
        <v>112.5</v>
      </c>
      <c r="P14" s="49">
        <f t="shared" si="2"/>
        <v>97.1</v>
      </c>
      <c r="Q14" s="49">
        <f t="shared" si="3"/>
        <v>0</v>
      </c>
      <c r="R14" s="49">
        <f t="shared" si="4"/>
        <v>0</v>
      </c>
      <c r="S14" s="49">
        <f t="shared" si="5"/>
        <v>0</v>
      </c>
      <c r="T14" s="49">
        <f t="shared" si="6"/>
        <v>0</v>
      </c>
      <c r="U14" s="49">
        <f t="shared" si="7"/>
        <v>0</v>
      </c>
      <c r="V14" s="49">
        <f t="shared" si="8"/>
        <v>209.6</v>
      </c>
      <c r="W14" s="212"/>
      <c r="X14" s="228"/>
    </row>
    <row r="15" spans="1:24" s="44" customFormat="1" ht="15.75">
      <c r="A15" s="31">
        <v>8</v>
      </c>
      <c r="B15" s="43" t="s">
        <v>5</v>
      </c>
      <c r="C15" s="77">
        <v>5</v>
      </c>
      <c r="D15" s="91">
        <v>4494</v>
      </c>
      <c r="E15" s="33">
        <v>39</v>
      </c>
      <c r="F15" s="33">
        <v>38</v>
      </c>
      <c r="G15" s="33">
        <v>2</v>
      </c>
      <c r="H15" s="33">
        <v>1</v>
      </c>
      <c r="I15" s="33"/>
      <c r="J15" s="33"/>
      <c r="K15" s="33"/>
      <c r="L15" s="93">
        <v>3347</v>
      </c>
      <c r="M15" s="79">
        <f t="shared" si="0"/>
        <v>1.343</v>
      </c>
      <c r="N15" s="217">
        <v>1.02</v>
      </c>
      <c r="O15" s="49">
        <f t="shared" si="1"/>
        <v>119.2</v>
      </c>
      <c r="P15" s="49">
        <f t="shared" si="2"/>
        <v>116.2</v>
      </c>
      <c r="Q15" s="49">
        <f t="shared" si="3"/>
        <v>6.1</v>
      </c>
      <c r="R15" s="49">
        <f t="shared" si="4"/>
        <v>3.1</v>
      </c>
      <c r="S15" s="49">
        <f t="shared" si="5"/>
        <v>0</v>
      </c>
      <c r="T15" s="49">
        <f t="shared" si="6"/>
        <v>0</v>
      </c>
      <c r="U15" s="49">
        <f t="shared" si="7"/>
        <v>0</v>
      </c>
      <c r="V15" s="49">
        <f t="shared" si="8"/>
        <v>244.6</v>
      </c>
      <c r="W15" s="212"/>
      <c r="X15" s="228"/>
    </row>
    <row r="16" spans="1:24" s="37" customFormat="1" ht="15.75">
      <c r="A16" s="31">
        <v>9</v>
      </c>
      <c r="B16" s="41" t="s">
        <v>6</v>
      </c>
      <c r="C16" s="77">
        <v>5</v>
      </c>
      <c r="D16" s="91">
        <v>33330</v>
      </c>
      <c r="E16" s="33"/>
      <c r="F16" s="33"/>
      <c r="G16" s="33"/>
      <c r="H16" s="33"/>
      <c r="I16" s="33"/>
      <c r="J16" s="33"/>
      <c r="K16" s="33"/>
      <c r="L16" s="94">
        <v>3347</v>
      </c>
      <c r="M16" s="79">
        <f t="shared" si="0"/>
        <v>9.958</v>
      </c>
      <c r="N16" s="217">
        <v>1.064</v>
      </c>
      <c r="O16" s="49">
        <f t="shared" si="1"/>
        <v>0</v>
      </c>
      <c r="P16" s="49">
        <f t="shared" si="2"/>
        <v>0</v>
      </c>
      <c r="Q16" s="49">
        <f t="shared" si="3"/>
        <v>0</v>
      </c>
      <c r="R16" s="49">
        <f t="shared" si="4"/>
        <v>0</v>
      </c>
      <c r="S16" s="49">
        <f t="shared" si="5"/>
        <v>0</v>
      </c>
      <c r="T16" s="49">
        <f t="shared" si="6"/>
        <v>0</v>
      </c>
      <c r="U16" s="49">
        <f t="shared" si="7"/>
        <v>0</v>
      </c>
      <c r="V16" s="49">
        <f t="shared" si="8"/>
        <v>0</v>
      </c>
      <c r="W16" s="212"/>
      <c r="X16" s="228"/>
    </row>
    <row r="17" spans="1:24" s="37" customFormat="1" ht="15.75">
      <c r="A17" s="40">
        <v>10</v>
      </c>
      <c r="B17" s="32" t="s">
        <v>7</v>
      </c>
      <c r="C17" s="77">
        <v>5</v>
      </c>
      <c r="D17" s="91">
        <v>15948</v>
      </c>
      <c r="E17" s="33">
        <v>6</v>
      </c>
      <c r="F17" s="33">
        <v>3</v>
      </c>
      <c r="G17" s="33"/>
      <c r="H17" s="33"/>
      <c r="I17" s="33"/>
      <c r="J17" s="33"/>
      <c r="K17" s="33"/>
      <c r="L17" s="94">
        <v>3347</v>
      </c>
      <c r="M17" s="79">
        <f t="shared" si="0"/>
        <v>4.765</v>
      </c>
      <c r="N17" s="217">
        <v>1.045</v>
      </c>
      <c r="O17" s="49">
        <f t="shared" si="1"/>
        <v>66.7</v>
      </c>
      <c r="P17" s="49">
        <f t="shared" si="2"/>
        <v>33.3</v>
      </c>
      <c r="Q17" s="49">
        <f t="shared" si="3"/>
        <v>0</v>
      </c>
      <c r="R17" s="49">
        <f t="shared" si="4"/>
        <v>0</v>
      </c>
      <c r="S17" s="49">
        <f t="shared" si="5"/>
        <v>0</v>
      </c>
      <c r="T17" s="49">
        <f t="shared" si="6"/>
        <v>0</v>
      </c>
      <c r="U17" s="49">
        <f t="shared" si="7"/>
        <v>0</v>
      </c>
      <c r="V17" s="49">
        <f t="shared" si="8"/>
        <v>100</v>
      </c>
      <c r="W17" s="212"/>
      <c r="X17" s="228"/>
    </row>
    <row r="18" spans="1:24" s="37" customFormat="1" ht="15.75">
      <c r="A18" s="31">
        <v>11</v>
      </c>
      <c r="B18" s="32" t="s">
        <v>8</v>
      </c>
      <c r="C18" s="77">
        <v>5</v>
      </c>
      <c r="D18" s="91">
        <v>13154</v>
      </c>
      <c r="E18" s="33">
        <v>11</v>
      </c>
      <c r="F18" s="33"/>
      <c r="G18" s="33"/>
      <c r="H18" s="33"/>
      <c r="I18" s="33"/>
      <c r="J18" s="33"/>
      <c r="K18" s="33"/>
      <c r="L18" s="94">
        <v>3347</v>
      </c>
      <c r="M18" s="79">
        <f t="shared" si="0"/>
        <v>3.93</v>
      </c>
      <c r="N18" s="217">
        <v>1.057</v>
      </c>
      <c r="O18" s="49">
        <f t="shared" si="1"/>
        <v>102</v>
      </c>
      <c r="P18" s="49">
        <f t="shared" si="2"/>
        <v>0</v>
      </c>
      <c r="Q18" s="49">
        <f t="shared" si="3"/>
        <v>0</v>
      </c>
      <c r="R18" s="49">
        <f t="shared" si="4"/>
        <v>0</v>
      </c>
      <c r="S18" s="49">
        <f t="shared" si="5"/>
        <v>0</v>
      </c>
      <c r="T18" s="49">
        <f t="shared" si="6"/>
        <v>0</v>
      </c>
      <c r="U18" s="49">
        <f t="shared" si="7"/>
        <v>0</v>
      </c>
      <c r="V18" s="49">
        <f t="shared" si="8"/>
        <v>102</v>
      </c>
      <c r="W18" s="212"/>
      <c r="X18" s="228"/>
    </row>
    <row r="19" spans="1:24" s="37" customFormat="1" ht="15.75">
      <c r="A19" s="31">
        <v>12</v>
      </c>
      <c r="B19" s="32" t="s">
        <v>9</v>
      </c>
      <c r="C19" s="77">
        <v>5</v>
      </c>
      <c r="D19" s="91">
        <v>15608</v>
      </c>
      <c r="E19" s="33">
        <v>14</v>
      </c>
      <c r="F19" s="33"/>
      <c r="G19" s="33"/>
      <c r="H19" s="33"/>
      <c r="I19" s="33"/>
      <c r="J19" s="33"/>
      <c r="K19" s="33"/>
      <c r="L19" s="94">
        <v>3347</v>
      </c>
      <c r="M19" s="79">
        <f t="shared" si="0"/>
        <v>4.663</v>
      </c>
      <c r="N19" s="217">
        <v>1.054</v>
      </c>
      <c r="O19" s="49">
        <f t="shared" si="1"/>
        <v>153.5</v>
      </c>
      <c r="P19" s="49">
        <f t="shared" si="2"/>
        <v>0</v>
      </c>
      <c r="Q19" s="49">
        <f t="shared" si="3"/>
        <v>0</v>
      </c>
      <c r="R19" s="49">
        <f t="shared" si="4"/>
        <v>0</v>
      </c>
      <c r="S19" s="49">
        <f t="shared" si="5"/>
        <v>0</v>
      </c>
      <c r="T19" s="49">
        <f t="shared" si="6"/>
        <v>0</v>
      </c>
      <c r="U19" s="49">
        <f t="shared" si="7"/>
        <v>0</v>
      </c>
      <c r="V19" s="49">
        <f t="shared" si="8"/>
        <v>153.5</v>
      </c>
      <c r="W19" s="212"/>
      <c r="X19" s="228"/>
    </row>
    <row r="20" spans="1:24" s="37" customFormat="1" ht="15.75">
      <c r="A20" s="40">
        <v>13</v>
      </c>
      <c r="B20" s="32" t="s">
        <v>10</v>
      </c>
      <c r="C20" s="77">
        <v>5</v>
      </c>
      <c r="D20" s="91">
        <v>7136</v>
      </c>
      <c r="E20" s="33">
        <v>31</v>
      </c>
      <c r="F20" s="33"/>
      <c r="G20" s="33"/>
      <c r="H20" s="33"/>
      <c r="I20" s="33">
        <v>3</v>
      </c>
      <c r="J20" s="33"/>
      <c r="K20" s="33"/>
      <c r="L20" s="94">
        <v>3347</v>
      </c>
      <c r="M20" s="79">
        <f t="shared" si="0"/>
        <v>2.132</v>
      </c>
      <c r="N20" s="217">
        <v>1.033</v>
      </c>
      <c r="O20" s="49">
        <f t="shared" si="1"/>
        <v>152.3</v>
      </c>
      <c r="P20" s="49">
        <f t="shared" si="2"/>
        <v>0</v>
      </c>
      <c r="Q20" s="49">
        <f t="shared" si="3"/>
        <v>0</v>
      </c>
      <c r="R20" s="49">
        <f t="shared" si="4"/>
        <v>0</v>
      </c>
      <c r="S20" s="49">
        <f t="shared" si="5"/>
        <v>14.7</v>
      </c>
      <c r="T20" s="49">
        <f t="shared" si="6"/>
        <v>0</v>
      </c>
      <c r="U20" s="49">
        <f t="shared" si="7"/>
        <v>0</v>
      </c>
      <c r="V20" s="49">
        <f t="shared" si="8"/>
        <v>167</v>
      </c>
      <c r="W20" s="212"/>
      <c r="X20" s="228"/>
    </row>
    <row r="21" spans="1:24" s="37" customFormat="1" ht="19.5" customHeight="1">
      <c r="A21" s="31">
        <v>14</v>
      </c>
      <c r="B21" s="32" t="s">
        <v>11</v>
      </c>
      <c r="C21" s="77">
        <v>5</v>
      </c>
      <c r="D21" s="91">
        <v>29224</v>
      </c>
      <c r="E21" s="33"/>
      <c r="F21" s="33"/>
      <c r="G21" s="33"/>
      <c r="H21" s="33"/>
      <c r="I21" s="33"/>
      <c r="J21" s="33"/>
      <c r="K21" s="33"/>
      <c r="L21" s="94">
        <v>3347</v>
      </c>
      <c r="M21" s="79">
        <f t="shared" si="0"/>
        <v>8.731</v>
      </c>
      <c r="N21" s="217">
        <v>1.07</v>
      </c>
      <c r="O21" s="49">
        <f t="shared" si="1"/>
        <v>0</v>
      </c>
      <c r="P21" s="49">
        <f t="shared" si="2"/>
        <v>0</v>
      </c>
      <c r="Q21" s="49">
        <f t="shared" si="3"/>
        <v>0</v>
      </c>
      <c r="R21" s="49">
        <f t="shared" si="4"/>
        <v>0</v>
      </c>
      <c r="S21" s="49">
        <f t="shared" si="5"/>
        <v>0</v>
      </c>
      <c r="T21" s="49">
        <f t="shared" si="6"/>
        <v>0</v>
      </c>
      <c r="U21" s="49">
        <f t="shared" si="7"/>
        <v>0</v>
      </c>
      <c r="V21" s="49">
        <f t="shared" si="8"/>
        <v>0</v>
      </c>
      <c r="W21" s="212"/>
      <c r="X21" s="228"/>
    </row>
    <row r="22" spans="1:24" s="37" customFormat="1" ht="15.75">
      <c r="A22" s="31">
        <v>15</v>
      </c>
      <c r="B22" s="32" t="s">
        <v>12</v>
      </c>
      <c r="C22" s="77">
        <v>5</v>
      </c>
      <c r="D22" s="91">
        <v>8754</v>
      </c>
      <c r="E22" s="33">
        <v>30</v>
      </c>
      <c r="F22" s="33"/>
      <c r="G22" s="33"/>
      <c r="H22" s="33"/>
      <c r="I22" s="33"/>
      <c r="J22" s="33"/>
      <c r="K22" s="33"/>
      <c r="L22" s="94">
        <v>3347</v>
      </c>
      <c r="M22" s="79">
        <f t="shared" si="0"/>
        <v>2.615</v>
      </c>
      <c r="N22" s="217">
        <v>1.033</v>
      </c>
      <c r="O22" s="49">
        <f t="shared" si="1"/>
        <v>180.8</v>
      </c>
      <c r="P22" s="49">
        <f t="shared" si="2"/>
        <v>0</v>
      </c>
      <c r="Q22" s="49">
        <f t="shared" si="3"/>
        <v>0</v>
      </c>
      <c r="R22" s="49">
        <f t="shared" si="4"/>
        <v>0</v>
      </c>
      <c r="S22" s="49">
        <f t="shared" si="5"/>
        <v>0</v>
      </c>
      <c r="T22" s="49">
        <f t="shared" si="6"/>
        <v>0</v>
      </c>
      <c r="U22" s="49">
        <f t="shared" si="7"/>
        <v>0</v>
      </c>
      <c r="V22" s="49">
        <f t="shared" si="8"/>
        <v>180.8</v>
      </c>
      <c r="W22" s="212"/>
      <c r="X22" s="228"/>
    </row>
    <row r="23" spans="1:24" s="37" customFormat="1" ht="15.75" customHeight="1">
      <c r="A23" s="40">
        <v>16</v>
      </c>
      <c r="B23" s="32" t="s">
        <v>13</v>
      </c>
      <c r="C23" s="77">
        <v>5</v>
      </c>
      <c r="D23" s="91">
        <v>24475</v>
      </c>
      <c r="E23" s="33"/>
      <c r="F23" s="33">
        <v>13</v>
      </c>
      <c r="G23" s="33"/>
      <c r="H23" s="33"/>
      <c r="I23" s="33"/>
      <c r="J23" s="33"/>
      <c r="K23" s="33"/>
      <c r="L23" s="94">
        <v>3347</v>
      </c>
      <c r="M23" s="79">
        <f t="shared" si="0"/>
        <v>7.313</v>
      </c>
      <c r="N23" s="217">
        <v>1.033</v>
      </c>
      <c r="O23" s="49">
        <f t="shared" si="1"/>
        <v>0</v>
      </c>
      <c r="P23" s="49">
        <f t="shared" si="2"/>
        <v>219.1</v>
      </c>
      <c r="Q23" s="49">
        <f t="shared" si="3"/>
        <v>0</v>
      </c>
      <c r="R23" s="49">
        <f t="shared" si="4"/>
        <v>0</v>
      </c>
      <c r="S23" s="49">
        <f t="shared" si="5"/>
        <v>0</v>
      </c>
      <c r="T23" s="49">
        <f t="shared" si="6"/>
        <v>0</v>
      </c>
      <c r="U23" s="49">
        <f t="shared" si="7"/>
        <v>0</v>
      </c>
      <c r="V23" s="49">
        <f t="shared" si="8"/>
        <v>219.1</v>
      </c>
      <c r="W23" s="212"/>
      <c r="X23" s="228"/>
    </row>
    <row r="24" spans="1:24" s="37" customFormat="1" ht="19.5" customHeight="1">
      <c r="A24" s="31">
        <v>17</v>
      </c>
      <c r="B24" s="32" t="s">
        <v>14</v>
      </c>
      <c r="C24" s="77">
        <v>5</v>
      </c>
      <c r="D24" s="91">
        <v>56989</v>
      </c>
      <c r="E24" s="33"/>
      <c r="F24" s="33"/>
      <c r="G24" s="33"/>
      <c r="H24" s="33"/>
      <c r="I24" s="33"/>
      <c r="J24" s="33"/>
      <c r="K24" s="33"/>
      <c r="L24" s="94">
        <v>3347</v>
      </c>
      <c r="M24" s="79">
        <f t="shared" si="0"/>
        <v>17.027</v>
      </c>
      <c r="N24" s="217">
        <v>1.046</v>
      </c>
      <c r="O24" s="49">
        <f t="shared" si="1"/>
        <v>0</v>
      </c>
      <c r="P24" s="49">
        <f t="shared" si="2"/>
        <v>0</v>
      </c>
      <c r="Q24" s="49">
        <f t="shared" si="3"/>
        <v>0</v>
      </c>
      <c r="R24" s="49">
        <f t="shared" si="4"/>
        <v>0</v>
      </c>
      <c r="S24" s="49">
        <f t="shared" si="5"/>
        <v>0</v>
      </c>
      <c r="T24" s="49">
        <f t="shared" si="6"/>
        <v>0</v>
      </c>
      <c r="U24" s="49">
        <f t="shared" si="7"/>
        <v>0</v>
      </c>
      <c r="V24" s="49">
        <f t="shared" si="8"/>
        <v>0</v>
      </c>
      <c r="W24" s="212"/>
      <c r="X24" s="228"/>
    </row>
    <row r="25" spans="1:24" s="37" customFormat="1" ht="15.75">
      <c r="A25" s="31">
        <v>18</v>
      </c>
      <c r="B25" s="32" t="s">
        <v>15</v>
      </c>
      <c r="C25" s="77">
        <v>5</v>
      </c>
      <c r="D25" s="91">
        <v>21271</v>
      </c>
      <c r="E25" s="33"/>
      <c r="F25" s="33"/>
      <c r="G25" s="33"/>
      <c r="H25" s="33"/>
      <c r="I25" s="33"/>
      <c r="J25" s="33"/>
      <c r="K25" s="33"/>
      <c r="L25" s="94">
        <v>3347</v>
      </c>
      <c r="M25" s="79">
        <f t="shared" si="0"/>
        <v>6.355</v>
      </c>
      <c r="N25" s="217">
        <v>1.09</v>
      </c>
      <c r="O25" s="49">
        <f t="shared" si="1"/>
        <v>0</v>
      </c>
      <c r="P25" s="49">
        <f t="shared" si="2"/>
        <v>0</v>
      </c>
      <c r="Q25" s="49">
        <f t="shared" si="3"/>
        <v>0</v>
      </c>
      <c r="R25" s="49">
        <f t="shared" si="4"/>
        <v>0</v>
      </c>
      <c r="S25" s="49">
        <f t="shared" si="5"/>
        <v>0</v>
      </c>
      <c r="T25" s="49">
        <f t="shared" si="6"/>
        <v>0</v>
      </c>
      <c r="U25" s="49">
        <f t="shared" si="7"/>
        <v>0</v>
      </c>
      <c r="V25" s="49">
        <f t="shared" si="8"/>
        <v>0</v>
      </c>
      <c r="W25" s="212"/>
      <c r="X25" s="228"/>
    </row>
    <row r="26" spans="1:24" s="37" customFormat="1" ht="21" customHeight="1">
      <c r="A26" s="40">
        <v>19</v>
      </c>
      <c r="B26" s="32" t="s">
        <v>16</v>
      </c>
      <c r="C26" s="77">
        <v>5</v>
      </c>
      <c r="D26" s="91">
        <v>15687</v>
      </c>
      <c r="E26" s="33">
        <v>15</v>
      </c>
      <c r="F26" s="33"/>
      <c r="G26" s="33"/>
      <c r="H26" s="33"/>
      <c r="I26" s="33"/>
      <c r="J26" s="33"/>
      <c r="K26" s="33"/>
      <c r="L26" s="94">
        <v>3347</v>
      </c>
      <c r="M26" s="79">
        <f t="shared" si="0"/>
        <v>4.687</v>
      </c>
      <c r="N26" s="217">
        <v>1.036</v>
      </c>
      <c r="O26" s="49">
        <f t="shared" si="1"/>
        <v>162.5</v>
      </c>
      <c r="P26" s="49">
        <f t="shared" si="2"/>
        <v>0</v>
      </c>
      <c r="Q26" s="49">
        <f t="shared" si="3"/>
        <v>0</v>
      </c>
      <c r="R26" s="49">
        <f t="shared" si="4"/>
        <v>0</v>
      </c>
      <c r="S26" s="49">
        <f t="shared" si="5"/>
        <v>0</v>
      </c>
      <c r="T26" s="49">
        <f t="shared" si="6"/>
        <v>0</v>
      </c>
      <c r="U26" s="49">
        <f t="shared" si="7"/>
        <v>0</v>
      </c>
      <c r="V26" s="49">
        <f t="shared" si="8"/>
        <v>162.5</v>
      </c>
      <c r="W26" s="212"/>
      <c r="X26" s="228"/>
    </row>
    <row r="27" spans="1:24" s="37" customFormat="1" ht="15.75">
      <c r="A27" s="31">
        <v>20</v>
      </c>
      <c r="B27" s="32" t="s">
        <v>17</v>
      </c>
      <c r="C27" s="77">
        <v>5</v>
      </c>
      <c r="D27" s="91">
        <v>6204</v>
      </c>
      <c r="E27" s="33"/>
      <c r="F27" s="33">
        <v>27</v>
      </c>
      <c r="G27" s="33"/>
      <c r="H27" s="33"/>
      <c r="I27" s="33"/>
      <c r="J27" s="33"/>
      <c r="K27" s="33"/>
      <c r="L27" s="94">
        <v>3347</v>
      </c>
      <c r="M27" s="79">
        <f t="shared" si="0"/>
        <v>1.854</v>
      </c>
      <c r="N27" s="217">
        <v>1.045</v>
      </c>
      <c r="O27" s="49">
        <f t="shared" si="1"/>
        <v>0</v>
      </c>
      <c r="P27" s="49">
        <f t="shared" si="2"/>
        <v>116.7</v>
      </c>
      <c r="Q27" s="49">
        <f t="shared" si="3"/>
        <v>0</v>
      </c>
      <c r="R27" s="49">
        <f t="shared" si="4"/>
        <v>0</v>
      </c>
      <c r="S27" s="49">
        <f t="shared" si="5"/>
        <v>0</v>
      </c>
      <c r="T27" s="49">
        <f t="shared" si="6"/>
        <v>0</v>
      </c>
      <c r="U27" s="49">
        <f t="shared" si="7"/>
        <v>0</v>
      </c>
      <c r="V27" s="49">
        <f t="shared" si="8"/>
        <v>116.7</v>
      </c>
      <c r="W27" s="212"/>
      <c r="X27" s="228"/>
    </row>
    <row r="28" spans="1:24" s="37" customFormat="1" ht="15.75">
      <c r="A28" s="31">
        <v>21</v>
      </c>
      <c r="B28" s="32" t="s">
        <v>18</v>
      </c>
      <c r="C28" s="77">
        <v>5</v>
      </c>
      <c r="D28" s="91">
        <v>36770</v>
      </c>
      <c r="E28" s="60"/>
      <c r="F28" s="33"/>
      <c r="G28" s="33"/>
      <c r="H28" s="33"/>
      <c r="I28" s="33"/>
      <c r="J28" s="33"/>
      <c r="K28" s="33"/>
      <c r="L28" s="94">
        <v>3347</v>
      </c>
      <c r="M28" s="79">
        <f t="shared" si="0"/>
        <v>10.986</v>
      </c>
      <c r="N28" s="217">
        <v>1.039</v>
      </c>
      <c r="O28" s="49">
        <f t="shared" si="1"/>
        <v>0</v>
      </c>
      <c r="P28" s="49">
        <f t="shared" si="2"/>
        <v>0</v>
      </c>
      <c r="Q28" s="49">
        <f t="shared" si="3"/>
        <v>0</v>
      </c>
      <c r="R28" s="49">
        <f t="shared" si="4"/>
        <v>0</v>
      </c>
      <c r="S28" s="49">
        <f t="shared" si="5"/>
        <v>0</v>
      </c>
      <c r="T28" s="49">
        <f t="shared" si="6"/>
        <v>0</v>
      </c>
      <c r="U28" s="49">
        <f t="shared" si="7"/>
        <v>0</v>
      </c>
      <c r="V28" s="49">
        <f t="shared" si="8"/>
        <v>0</v>
      </c>
      <c r="W28" s="212"/>
      <c r="X28" s="228"/>
    </row>
    <row r="29" spans="1:24" s="37" customFormat="1" ht="20.25" customHeight="1">
      <c r="A29" s="40">
        <v>22</v>
      </c>
      <c r="B29" s="32" t="s">
        <v>19</v>
      </c>
      <c r="C29" s="77">
        <v>5</v>
      </c>
      <c r="D29" s="91">
        <v>13269</v>
      </c>
      <c r="E29" s="33">
        <v>13</v>
      </c>
      <c r="F29" s="33"/>
      <c r="G29" s="33"/>
      <c r="H29" s="33"/>
      <c r="I29" s="33"/>
      <c r="J29" s="33"/>
      <c r="K29" s="33"/>
      <c r="L29" s="94">
        <v>3347</v>
      </c>
      <c r="M29" s="79">
        <f t="shared" si="0"/>
        <v>3.964</v>
      </c>
      <c r="N29" s="217">
        <v>1.046</v>
      </c>
      <c r="O29" s="49">
        <f t="shared" si="1"/>
        <v>120.3</v>
      </c>
      <c r="P29" s="49">
        <f t="shared" si="2"/>
        <v>0</v>
      </c>
      <c r="Q29" s="49">
        <f t="shared" si="3"/>
        <v>0</v>
      </c>
      <c r="R29" s="49">
        <f t="shared" si="4"/>
        <v>0</v>
      </c>
      <c r="S29" s="49">
        <f t="shared" si="5"/>
        <v>0</v>
      </c>
      <c r="T29" s="49">
        <f t="shared" si="6"/>
        <v>0</v>
      </c>
      <c r="U29" s="49">
        <f t="shared" si="7"/>
        <v>0</v>
      </c>
      <c r="V29" s="49">
        <f t="shared" si="8"/>
        <v>120.3</v>
      </c>
      <c r="W29" s="212"/>
      <c r="X29" s="228"/>
    </row>
    <row r="30" spans="1:24" s="37" customFormat="1" ht="18.75" customHeight="1">
      <c r="A30" s="31">
        <v>23</v>
      </c>
      <c r="B30" s="32" t="s">
        <v>20</v>
      </c>
      <c r="C30" s="77">
        <v>6</v>
      </c>
      <c r="D30" s="91">
        <v>28637</v>
      </c>
      <c r="E30" s="33">
        <v>8</v>
      </c>
      <c r="F30" s="33"/>
      <c r="G30" s="33"/>
      <c r="H30" s="33"/>
      <c r="I30" s="33"/>
      <c r="J30" s="33"/>
      <c r="K30" s="33"/>
      <c r="L30" s="94">
        <v>3347</v>
      </c>
      <c r="M30" s="79">
        <f t="shared" si="0"/>
        <v>8.556</v>
      </c>
      <c r="N30" s="217">
        <v>1.033</v>
      </c>
      <c r="O30" s="49">
        <f t="shared" si="1"/>
        <v>157.8</v>
      </c>
      <c r="P30" s="49">
        <f t="shared" si="2"/>
        <v>0</v>
      </c>
      <c r="Q30" s="49">
        <f t="shared" si="3"/>
        <v>0</v>
      </c>
      <c r="R30" s="49">
        <f t="shared" si="4"/>
        <v>0</v>
      </c>
      <c r="S30" s="49">
        <f t="shared" si="5"/>
        <v>0</v>
      </c>
      <c r="T30" s="49">
        <f t="shared" si="6"/>
        <v>0</v>
      </c>
      <c r="U30" s="49">
        <f t="shared" si="7"/>
        <v>0</v>
      </c>
      <c r="V30" s="49">
        <f t="shared" si="8"/>
        <v>157.8</v>
      </c>
      <c r="W30" s="212"/>
      <c r="X30" s="228"/>
    </row>
    <row r="31" spans="1:24" s="37" customFormat="1" ht="15.75">
      <c r="A31" s="31">
        <v>24</v>
      </c>
      <c r="B31" s="32" t="s">
        <v>21</v>
      </c>
      <c r="C31" s="77">
        <v>5</v>
      </c>
      <c r="D31" s="91">
        <v>46500</v>
      </c>
      <c r="E31" s="33"/>
      <c r="F31" s="33"/>
      <c r="G31" s="33"/>
      <c r="H31" s="33"/>
      <c r="I31" s="33"/>
      <c r="J31" s="33"/>
      <c r="K31" s="33"/>
      <c r="L31" s="94">
        <v>3347</v>
      </c>
      <c r="M31" s="79">
        <f t="shared" si="0"/>
        <v>13.893</v>
      </c>
      <c r="N31" s="217">
        <v>1.057</v>
      </c>
      <c r="O31" s="49">
        <f t="shared" si="1"/>
        <v>0</v>
      </c>
      <c r="P31" s="49">
        <f t="shared" si="2"/>
        <v>0</v>
      </c>
      <c r="Q31" s="49">
        <f t="shared" si="3"/>
        <v>0</v>
      </c>
      <c r="R31" s="49">
        <f t="shared" si="4"/>
        <v>0</v>
      </c>
      <c r="S31" s="49">
        <f t="shared" si="5"/>
        <v>0</v>
      </c>
      <c r="T31" s="49">
        <f t="shared" si="6"/>
        <v>0</v>
      </c>
      <c r="U31" s="49">
        <f t="shared" si="7"/>
        <v>0</v>
      </c>
      <c r="V31" s="49">
        <f t="shared" si="8"/>
        <v>0</v>
      </c>
      <c r="W31" s="212"/>
      <c r="X31" s="228"/>
    </row>
    <row r="32" spans="1:24" s="37" customFormat="1" ht="15.75">
      <c r="A32" s="40">
        <v>25</v>
      </c>
      <c r="B32" s="32" t="s">
        <v>22</v>
      </c>
      <c r="C32" s="77">
        <v>6</v>
      </c>
      <c r="D32" s="91">
        <v>67373</v>
      </c>
      <c r="E32" s="33"/>
      <c r="F32" s="33"/>
      <c r="G32" s="33"/>
      <c r="H32" s="33"/>
      <c r="I32" s="33"/>
      <c r="J32" s="33"/>
      <c r="K32" s="33"/>
      <c r="L32" s="94">
        <v>3347</v>
      </c>
      <c r="M32" s="79">
        <f t="shared" si="0"/>
        <v>20.129</v>
      </c>
      <c r="N32" s="217">
        <v>1.04</v>
      </c>
      <c r="O32" s="49">
        <f t="shared" si="1"/>
        <v>0</v>
      </c>
      <c r="P32" s="49">
        <f t="shared" si="2"/>
        <v>0</v>
      </c>
      <c r="Q32" s="49">
        <f t="shared" si="3"/>
        <v>0</v>
      </c>
      <c r="R32" s="49">
        <f t="shared" si="4"/>
        <v>0</v>
      </c>
      <c r="S32" s="49">
        <f t="shared" si="5"/>
        <v>0</v>
      </c>
      <c r="T32" s="49">
        <f t="shared" si="6"/>
        <v>0</v>
      </c>
      <c r="U32" s="49">
        <f t="shared" si="7"/>
        <v>0</v>
      </c>
      <c r="V32" s="49">
        <f t="shared" si="8"/>
        <v>0</v>
      </c>
      <c r="W32" s="212"/>
      <c r="X32" s="228"/>
    </row>
    <row r="33" spans="1:24" s="37" customFormat="1" ht="15.75">
      <c r="A33" s="31">
        <v>26</v>
      </c>
      <c r="B33" s="32" t="s">
        <v>23</v>
      </c>
      <c r="C33" s="77">
        <v>5</v>
      </c>
      <c r="D33" s="91">
        <v>28921</v>
      </c>
      <c r="E33" s="33">
        <v>3</v>
      </c>
      <c r="F33" s="33"/>
      <c r="G33" s="33"/>
      <c r="H33" s="33"/>
      <c r="I33" s="33"/>
      <c r="J33" s="33"/>
      <c r="K33" s="33"/>
      <c r="L33" s="94">
        <v>3347</v>
      </c>
      <c r="M33" s="79">
        <f t="shared" si="0"/>
        <v>8.641</v>
      </c>
      <c r="N33" s="217">
        <v>1.045</v>
      </c>
      <c r="O33" s="49">
        <f t="shared" si="1"/>
        <v>60.4</v>
      </c>
      <c r="P33" s="49">
        <f t="shared" si="2"/>
        <v>0</v>
      </c>
      <c r="Q33" s="49">
        <f t="shared" si="3"/>
        <v>0</v>
      </c>
      <c r="R33" s="49">
        <f t="shared" si="4"/>
        <v>0</v>
      </c>
      <c r="S33" s="49">
        <f t="shared" si="5"/>
        <v>0</v>
      </c>
      <c r="T33" s="49">
        <f t="shared" si="6"/>
        <v>0</v>
      </c>
      <c r="U33" s="49">
        <f t="shared" si="7"/>
        <v>0</v>
      </c>
      <c r="V33" s="49">
        <f t="shared" si="8"/>
        <v>60.4</v>
      </c>
      <c r="W33" s="212"/>
      <c r="X33" s="228"/>
    </row>
    <row r="34" spans="1:24" s="37" customFormat="1" ht="24" customHeight="1">
      <c r="A34" s="31">
        <v>27</v>
      </c>
      <c r="B34" s="32" t="s">
        <v>24</v>
      </c>
      <c r="C34" s="77">
        <v>5</v>
      </c>
      <c r="D34" s="91">
        <v>25064</v>
      </c>
      <c r="E34" s="33">
        <v>6</v>
      </c>
      <c r="F34" s="33"/>
      <c r="G34" s="33"/>
      <c r="H34" s="33"/>
      <c r="I34" s="33"/>
      <c r="J34" s="33"/>
      <c r="K34" s="33"/>
      <c r="L34" s="94">
        <v>3347</v>
      </c>
      <c r="M34" s="79">
        <f t="shared" si="0"/>
        <v>7.488</v>
      </c>
      <c r="N34" s="217">
        <v>1.045</v>
      </c>
      <c r="O34" s="49">
        <f t="shared" si="1"/>
        <v>104.8</v>
      </c>
      <c r="P34" s="49">
        <f t="shared" si="2"/>
        <v>0</v>
      </c>
      <c r="Q34" s="49">
        <f t="shared" si="3"/>
        <v>0</v>
      </c>
      <c r="R34" s="49">
        <f t="shared" si="4"/>
        <v>0</v>
      </c>
      <c r="S34" s="49">
        <f t="shared" si="5"/>
        <v>0</v>
      </c>
      <c r="T34" s="49">
        <f t="shared" si="6"/>
        <v>0</v>
      </c>
      <c r="U34" s="49">
        <f t="shared" si="7"/>
        <v>0</v>
      </c>
      <c r="V34" s="49">
        <f t="shared" si="8"/>
        <v>104.8</v>
      </c>
      <c r="W34" s="212"/>
      <c r="X34" s="228"/>
    </row>
    <row r="35" spans="1:24" s="37" customFormat="1" ht="27.75" customHeight="1">
      <c r="A35" s="40">
        <v>28</v>
      </c>
      <c r="B35" s="32" t="s">
        <v>25</v>
      </c>
      <c r="C35" s="77">
        <v>5</v>
      </c>
      <c r="D35" s="91">
        <v>48753</v>
      </c>
      <c r="E35" s="33"/>
      <c r="F35" s="33"/>
      <c r="G35" s="33"/>
      <c r="H35" s="33"/>
      <c r="I35" s="33"/>
      <c r="J35" s="33"/>
      <c r="K35" s="33"/>
      <c r="L35" s="94">
        <v>3347</v>
      </c>
      <c r="M35" s="79">
        <f t="shared" si="0"/>
        <v>14.566</v>
      </c>
      <c r="N35" s="217">
        <v>1.048</v>
      </c>
      <c r="O35" s="49">
        <f t="shared" si="1"/>
        <v>0</v>
      </c>
      <c r="P35" s="49">
        <f t="shared" si="2"/>
        <v>0</v>
      </c>
      <c r="Q35" s="49">
        <f t="shared" si="3"/>
        <v>0</v>
      </c>
      <c r="R35" s="49">
        <f t="shared" si="4"/>
        <v>0</v>
      </c>
      <c r="S35" s="49">
        <f t="shared" si="5"/>
        <v>0</v>
      </c>
      <c r="T35" s="49">
        <f t="shared" si="6"/>
        <v>0</v>
      </c>
      <c r="U35" s="49">
        <f t="shared" si="7"/>
        <v>0</v>
      </c>
      <c r="V35" s="49">
        <f t="shared" si="8"/>
        <v>0</v>
      </c>
      <c r="W35" s="212"/>
      <c r="X35" s="228"/>
    </row>
    <row r="36" spans="1:24" s="37" customFormat="1" ht="18.75" customHeight="1">
      <c r="A36" s="31">
        <v>29</v>
      </c>
      <c r="B36" s="32" t="s">
        <v>26</v>
      </c>
      <c r="C36" s="77">
        <v>6</v>
      </c>
      <c r="D36" s="91">
        <v>65413</v>
      </c>
      <c r="E36" s="33">
        <v>10</v>
      </c>
      <c r="F36" s="33"/>
      <c r="G36" s="33"/>
      <c r="H36" s="33"/>
      <c r="I36" s="33"/>
      <c r="J36" s="33"/>
      <c r="K36" s="33"/>
      <c r="L36" s="94">
        <v>3347</v>
      </c>
      <c r="M36" s="79">
        <f t="shared" si="0"/>
        <v>19.544</v>
      </c>
      <c r="N36" s="217">
        <v>1.021</v>
      </c>
      <c r="O36" s="49">
        <f t="shared" si="1"/>
        <v>445.2</v>
      </c>
      <c r="P36" s="49">
        <f t="shared" si="2"/>
        <v>0</v>
      </c>
      <c r="Q36" s="49">
        <f t="shared" si="3"/>
        <v>0</v>
      </c>
      <c r="R36" s="49">
        <f t="shared" si="4"/>
        <v>0</v>
      </c>
      <c r="S36" s="49">
        <f t="shared" si="5"/>
        <v>0</v>
      </c>
      <c r="T36" s="49">
        <f t="shared" si="6"/>
        <v>0</v>
      </c>
      <c r="U36" s="49">
        <f t="shared" si="7"/>
        <v>0</v>
      </c>
      <c r="V36" s="49">
        <f t="shared" si="8"/>
        <v>445.2</v>
      </c>
      <c r="W36" s="212"/>
      <c r="X36" s="228"/>
    </row>
    <row r="37" spans="1:24" s="37" customFormat="1" ht="32.25" customHeight="1">
      <c r="A37" s="31">
        <v>30</v>
      </c>
      <c r="B37" s="32" t="s">
        <v>27</v>
      </c>
      <c r="C37" s="77">
        <v>6</v>
      </c>
      <c r="D37" s="91">
        <v>48853</v>
      </c>
      <c r="E37" s="33"/>
      <c r="F37" s="33"/>
      <c r="G37" s="33"/>
      <c r="H37" s="33"/>
      <c r="I37" s="33"/>
      <c r="J37" s="33"/>
      <c r="K37" s="33"/>
      <c r="L37" s="94">
        <v>3347</v>
      </c>
      <c r="M37" s="79">
        <f t="shared" si="0"/>
        <v>14.596</v>
      </c>
      <c r="N37" s="217">
        <v>1.036</v>
      </c>
      <c r="O37" s="49">
        <f t="shared" si="1"/>
        <v>0</v>
      </c>
      <c r="P37" s="49">
        <f t="shared" si="2"/>
        <v>0</v>
      </c>
      <c r="Q37" s="49">
        <f t="shared" si="3"/>
        <v>0</v>
      </c>
      <c r="R37" s="49">
        <f t="shared" si="4"/>
        <v>0</v>
      </c>
      <c r="S37" s="49">
        <f t="shared" si="5"/>
        <v>0</v>
      </c>
      <c r="T37" s="49">
        <f t="shared" si="6"/>
        <v>0</v>
      </c>
      <c r="U37" s="49">
        <f t="shared" si="7"/>
        <v>0</v>
      </c>
      <c r="V37" s="49">
        <f t="shared" si="8"/>
        <v>0</v>
      </c>
      <c r="W37" s="212"/>
      <c r="X37" s="228"/>
    </row>
    <row r="38" spans="1:24" s="37" customFormat="1" ht="15.75">
      <c r="A38" s="40">
        <v>31</v>
      </c>
      <c r="B38" s="32" t="s">
        <v>28</v>
      </c>
      <c r="C38" s="77">
        <v>5</v>
      </c>
      <c r="D38" s="91">
        <v>31354</v>
      </c>
      <c r="E38" s="33">
        <v>15</v>
      </c>
      <c r="F38" s="33"/>
      <c r="G38" s="33"/>
      <c r="H38" s="33"/>
      <c r="I38" s="33"/>
      <c r="J38" s="33"/>
      <c r="K38" s="33"/>
      <c r="L38" s="94">
        <v>3347</v>
      </c>
      <c r="M38" s="79">
        <f t="shared" si="0"/>
        <v>9.368</v>
      </c>
      <c r="N38" s="217">
        <v>1.036</v>
      </c>
      <c r="O38" s="49">
        <f t="shared" si="1"/>
        <v>324.8</v>
      </c>
      <c r="P38" s="49">
        <f t="shared" si="2"/>
        <v>0</v>
      </c>
      <c r="Q38" s="49">
        <f t="shared" si="3"/>
        <v>0</v>
      </c>
      <c r="R38" s="49">
        <f t="shared" si="4"/>
        <v>0</v>
      </c>
      <c r="S38" s="49">
        <f t="shared" si="5"/>
        <v>0</v>
      </c>
      <c r="T38" s="49">
        <f t="shared" si="6"/>
        <v>0</v>
      </c>
      <c r="U38" s="49">
        <f t="shared" si="7"/>
        <v>0</v>
      </c>
      <c r="V38" s="49">
        <f t="shared" si="8"/>
        <v>324.8</v>
      </c>
      <c r="W38" s="212"/>
      <c r="X38" s="228"/>
    </row>
    <row r="39" spans="1:24" s="37" customFormat="1" ht="15.75">
      <c r="A39" s="31">
        <v>32</v>
      </c>
      <c r="B39" s="32" t="s">
        <v>29</v>
      </c>
      <c r="C39" s="77">
        <v>5</v>
      </c>
      <c r="D39" s="91">
        <v>44126</v>
      </c>
      <c r="E39" s="33"/>
      <c r="F39" s="33"/>
      <c r="G39" s="33"/>
      <c r="H39" s="33"/>
      <c r="I39" s="33"/>
      <c r="J39" s="33"/>
      <c r="K39" s="33"/>
      <c r="L39" s="94">
        <v>3347</v>
      </c>
      <c r="M39" s="79">
        <f t="shared" si="0"/>
        <v>13.184</v>
      </c>
      <c r="N39" s="217">
        <v>1.044</v>
      </c>
      <c r="O39" s="49">
        <f t="shared" si="1"/>
        <v>0</v>
      </c>
      <c r="P39" s="49">
        <f t="shared" si="2"/>
        <v>0</v>
      </c>
      <c r="Q39" s="49">
        <f t="shared" si="3"/>
        <v>0</v>
      </c>
      <c r="R39" s="49">
        <f t="shared" si="4"/>
        <v>0</v>
      </c>
      <c r="S39" s="49">
        <f t="shared" si="5"/>
        <v>0</v>
      </c>
      <c r="T39" s="49">
        <f t="shared" si="6"/>
        <v>0</v>
      </c>
      <c r="U39" s="49">
        <f t="shared" si="7"/>
        <v>0</v>
      </c>
      <c r="V39" s="49">
        <f t="shared" si="8"/>
        <v>0</v>
      </c>
      <c r="W39" s="212"/>
      <c r="X39" s="228"/>
    </row>
    <row r="40" spans="1:24" s="37" customFormat="1" ht="15.75">
      <c r="A40" s="31">
        <v>33</v>
      </c>
      <c r="B40" s="32" t="s">
        <v>30</v>
      </c>
      <c r="C40" s="77">
        <v>6</v>
      </c>
      <c r="D40" s="91">
        <v>27660</v>
      </c>
      <c r="E40" s="33"/>
      <c r="F40" s="33"/>
      <c r="G40" s="33"/>
      <c r="H40" s="33"/>
      <c r="I40" s="33"/>
      <c r="J40" s="33"/>
      <c r="K40" s="33"/>
      <c r="L40" s="94">
        <v>3347</v>
      </c>
      <c r="M40" s="79">
        <f t="shared" si="0"/>
        <v>8.264</v>
      </c>
      <c r="N40" s="217">
        <v>1.033</v>
      </c>
      <c r="O40" s="49">
        <f t="shared" si="1"/>
        <v>0</v>
      </c>
      <c r="P40" s="49">
        <f t="shared" si="2"/>
        <v>0</v>
      </c>
      <c r="Q40" s="49">
        <f t="shared" si="3"/>
        <v>0</v>
      </c>
      <c r="R40" s="49">
        <f t="shared" si="4"/>
        <v>0</v>
      </c>
      <c r="S40" s="49">
        <f t="shared" si="5"/>
        <v>0</v>
      </c>
      <c r="T40" s="49">
        <f t="shared" si="6"/>
        <v>0</v>
      </c>
      <c r="U40" s="49">
        <f t="shared" si="7"/>
        <v>0</v>
      </c>
      <c r="V40" s="49">
        <f t="shared" si="8"/>
        <v>0</v>
      </c>
      <c r="W40" s="212"/>
      <c r="X40" s="228"/>
    </row>
    <row r="41" spans="1:24" s="37" customFormat="1" ht="15.75">
      <c r="A41" s="40">
        <v>34</v>
      </c>
      <c r="B41" s="32" t="s">
        <v>31</v>
      </c>
      <c r="C41" s="77">
        <v>5</v>
      </c>
      <c r="D41" s="91">
        <v>17307</v>
      </c>
      <c r="E41" s="33">
        <v>13</v>
      </c>
      <c r="F41" s="33"/>
      <c r="G41" s="33"/>
      <c r="H41" s="33"/>
      <c r="I41" s="33"/>
      <c r="J41" s="33"/>
      <c r="K41" s="33"/>
      <c r="L41" s="94">
        <v>3347</v>
      </c>
      <c r="M41" s="79">
        <f t="shared" si="0"/>
        <v>5.171</v>
      </c>
      <c r="N41" s="217">
        <v>1.027</v>
      </c>
      <c r="O41" s="49">
        <f t="shared" si="1"/>
        <v>154</v>
      </c>
      <c r="P41" s="49">
        <f t="shared" si="2"/>
        <v>0</v>
      </c>
      <c r="Q41" s="49">
        <f t="shared" si="3"/>
        <v>0</v>
      </c>
      <c r="R41" s="49">
        <f t="shared" si="4"/>
        <v>0</v>
      </c>
      <c r="S41" s="49">
        <f t="shared" si="5"/>
        <v>0</v>
      </c>
      <c r="T41" s="49">
        <f t="shared" si="6"/>
        <v>0</v>
      </c>
      <c r="U41" s="49">
        <f t="shared" si="7"/>
        <v>0</v>
      </c>
      <c r="V41" s="49">
        <f t="shared" si="8"/>
        <v>154</v>
      </c>
      <c r="W41" s="212"/>
      <c r="X41" s="228"/>
    </row>
    <row r="42" spans="1:24" s="37" customFormat="1" ht="22.5" customHeight="1">
      <c r="A42" s="31">
        <v>35</v>
      </c>
      <c r="B42" s="32" t="s">
        <v>32</v>
      </c>
      <c r="C42" s="77">
        <v>5</v>
      </c>
      <c r="D42" s="91">
        <v>18046</v>
      </c>
      <c r="E42" s="33">
        <v>14</v>
      </c>
      <c r="F42" s="33"/>
      <c r="G42" s="33"/>
      <c r="H42" s="33"/>
      <c r="I42" s="33"/>
      <c r="J42" s="33"/>
      <c r="K42" s="33"/>
      <c r="L42" s="94">
        <v>3347</v>
      </c>
      <c r="M42" s="79">
        <f t="shared" si="0"/>
        <v>5.392</v>
      </c>
      <c r="N42" s="217">
        <v>1.029</v>
      </c>
      <c r="O42" s="49">
        <f t="shared" si="1"/>
        <v>173.3</v>
      </c>
      <c r="P42" s="49">
        <f t="shared" si="2"/>
        <v>0</v>
      </c>
      <c r="Q42" s="49">
        <f t="shared" si="3"/>
        <v>0</v>
      </c>
      <c r="R42" s="49">
        <f t="shared" si="4"/>
        <v>0</v>
      </c>
      <c r="S42" s="49">
        <f t="shared" si="5"/>
        <v>0</v>
      </c>
      <c r="T42" s="49">
        <f t="shared" si="6"/>
        <v>0</v>
      </c>
      <c r="U42" s="49">
        <f t="shared" si="7"/>
        <v>0</v>
      </c>
      <c r="V42" s="49">
        <f t="shared" si="8"/>
        <v>173.3</v>
      </c>
      <c r="W42" s="212"/>
      <c r="X42" s="228"/>
    </row>
    <row r="43" spans="1:24" s="37" customFormat="1" ht="21.75" customHeight="1">
      <c r="A43" s="31">
        <v>36</v>
      </c>
      <c r="B43" s="32" t="s">
        <v>33</v>
      </c>
      <c r="C43" s="77">
        <v>5</v>
      </c>
      <c r="D43" s="91">
        <v>7483</v>
      </c>
      <c r="E43" s="33">
        <v>4</v>
      </c>
      <c r="F43" s="33"/>
      <c r="G43" s="33"/>
      <c r="H43" s="33">
        <v>1</v>
      </c>
      <c r="I43" s="33"/>
      <c r="J43" s="33"/>
      <c r="K43" s="33"/>
      <c r="L43" s="94">
        <v>3347</v>
      </c>
      <c r="M43" s="79">
        <f t="shared" si="0"/>
        <v>2.236</v>
      </c>
      <c r="N43" s="217">
        <v>1.089</v>
      </c>
      <c r="O43" s="49">
        <f t="shared" si="1"/>
        <v>21.7</v>
      </c>
      <c r="P43" s="49">
        <f t="shared" si="2"/>
        <v>0</v>
      </c>
      <c r="Q43" s="49">
        <f t="shared" si="3"/>
        <v>0</v>
      </c>
      <c r="R43" s="49">
        <f t="shared" si="4"/>
        <v>5.4</v>
      </c>
      <c r="S43" s="49">
        <f t="shared" si="5"/>
        <v>0</v>
      </c>
      <c r="T43" s="49">
        <f t="shared" si="6"/>
        <v>0</v>
      </c>
      <c r="U43" s="49">
        <f t="shared" si="7"/>
        <v>0</v>
      </c>
      <c r="V43" s="49">
        <f t="shared" si="8"/>
        <v>27.1</v>
      </c>
      <c r="W43" s="212"/>
      <c r="X43" s="228"/>
    </row>
    <row r="44" spans="1:24" s="37" customFormat="1" ht="21" customHeight="1">
      <c r="A44" s="40">
        <v>37</v>
      </c>
      <c r="B44" s="32" t="s">
        <v>34</v>
      </c>
      <c r="C44" s="77">
        <v>6</v>
      </c>
      <c r="D44" s="91">
        <v>12299</v>
      </c>
      <c r="E44" s="33"/>
      <c r="F44" s="33"/>
      <c r="G44" s="33"/>
      <c r="H44" s="33"/>
      <c r="I44" s="33"/>
      <c r="J44" s="33"/>
      <c r="K44" s="33"/>
      <c r="L44" s="94">
        <v>3347</v>
      </c>
      <c r="M44" s="79">
        <f t="shared" si="0"/>
        <v>3.675</v>
      </c>
      <c r="N44" s="217">
        <v>1.089</v>
      </c>
      <c r="O44" s="49">
        <f t="shared" si="1"/>
        <v>0</v>
      </c>
      <c r="P44" s="49">
        <f t="shared" si="2"/>
        <v>0</v>
      </c>
      <c r="Q44" s="49">
        <f t="shared" si="3"/>
        <v>0</v>
      </c>
      <c r="R44" s="49">
        <f t="shared" si="4"/>
        <v>0</v>
      </c>
      <c r="S44" s="49">
        <f t="shared" si="5"/>
        <v>0</v>
      </c>
      <c r="T44" s="49">
        <f t="shared" si="6"/>
        <v>0</v>
      </c>
      <c r="U44" s="49">
        <f t="shared" si="7"/>
        <v>0</v>
      </c>
      <c r="V44" s="49">
        <f t="shared" si="8"/>
        <v>0</v>
      </c>
      <c r="W44" s="212"/>
      <c r="X44" s="228"/>
    </row>
    <row r="45" spans="1:24" s="37" customFormat="1" ht="31.5">
      <c r="A45" s="31">
        <v>38</v>
      </c>
      <c r="B45" s="32" t="s">
        <v>35</v>
      </c>
      <c r="C45" s="77">
        <v>5</v>
      </c>
      <c r="D45" s="91">
        <v>48127</v>
      </c>
      <c r="E45" s="33"/>
      <c r="F45" s="33"/>
      <c r="G45" s="33"/>
      <c r="H45" s="33"/>
      <c r="I45" s="33"/>
      <c r="J45" s="33"/>
      <c r="K45" s="33"/>
      <c r="L45" s="94">
        <v>3347</v>
      </c>
      <c r="M45" s="79">
        <f t="shared" si="0"/>
        <v>14.379</v>
      </c>
      <c r="N45" s="217">
        <v>1.065</v>
      </c>
      <c r="O45" s="49">
        <f t="shared" si="1"/>
        <v>0</v>
      </c>
      <c r="P45" s="49">
        <f t="shared" si="2"/>
        <v>0</v>
      </c>
      <c r="Q45" s="49">
        <f t="shared" si="3"/>
        <v>0</v>
      </c>
      <c r="R45" s="49">
        <f t="shared" si="4"/>
        <v>0</v>
      </c>
      <c r="S45" s="49">
        <f t="shared" si="5"/>
        <v>0</v>
      </c>
      <c r="T45" s="49">
        <f t="shared" si="6"/>
        <v>0</v>
      </c>
      <c r="U45" s="49">
        <f t="shared" si="7"/>
        <v>0</v>
      </c>
      <c r="V45" s="49">
        <f t="shared" si="8"/>
        <v>0</v>
      </c>
      <c r="W45" s="212"/>
      <c r="X45" s="228"/>
    </row>
    <row r="46" spans="1:24" s="37" customFormat="1" ht="16.5" thickBot="1">
      <c r="A46" s="31">
        <v>39</v>
      </c>
      <c r="B46" s="45" t="s">
        <v>36</v>
      </c>
      <c r="C46" s="77">
        <v>5</v>
      </c>
      <c r="D46" s="92">
        <v>36054</v>
      </c>
      <c r="E46" s="33"/>
      <c r="F46" s="33"/>
      <c r="G46" s="33"/>
      <c r="H46" s="33"/>
      <c r="I46" s="33"/>
      <c r="J46" s="33"/>
      <c r="K46" s="33"/>
      <c r="L46" s="94">
        <v>3347</v>
      </c>
      <c r="M46" s="79">
        <f t="shared" si="0"/>
        <v>10.772</v>
      </c>
      <c r="N46" s="217">
        <v>1.053</v>
      </c>
      <c r="O46" s="49">
        <f t="shared" si="1"/>
        <v>0</v>
      </c>
      <c r="P46" s="49">
        <f t="shared" si="2"/>
        <v>0</v>
      </c>
      <c r="Q46" s="49">
        <f t="shared" si="3"/>
        <v>0</v>
      </c>
      <c r="R46" s="49">
        <f t="shared" si="4"/>
        <v>0</v>
      </c>
      <c r="S46" s="49">
        <f t="shared" si="5"/>
        <v>0</v>
      </c>
      <c r="T46" s="49">
        <f t="shared" si="6"/>
        <v>0</v>
      </c>
      <c r="U46" s="49">
        <f t="shared" si="7"/>
        <v>0</v>
      </c>
      <c r="V46" s="49">
        <f t="shared" si="8"/>
        <v>0</v>
      </c>
      <c r="W46" s="212"/>
      <c r="X46" s="228"/>
    </row>
    <row r="47" spans="1:24" s="37" customFormat="1" ht="48" thickBot="1">
      <c r="A47" s="46"/>
      <c r="B47" s="78" t="s">
        <v>74</v>
      </c>
      <c r="C47" s="47"/>
      <c r="D47" s="47"/>
      <c r="E47" s="48">
        <f aca="true" t="shared" si="9" ref="E47:K47">SUM(E8:E46)</f>
        <v>419</v>
      </c>
      <c r="F47" s="48">
        <f t="shared" si="9"/>
        <v>166</v>
      </c>
      <c r="G47" s="48">
        <f t="shared" si="9"/>
        <v>3</v>
      </c>
      <c r="H47" s="48">
        <f t="shared" si="9"/>
        <v>2</v>
      </c>
      <c r="I47" s="48">
        <f t="shared" si="9"/>
        <v>4</v>
      </c>
      <c r="J47" s="48">
        <f t="shared" si="9"/>
        <v>2</v>
      </c>
      <c r="K47" s="48">
        <f t="shared" si="9"/>
        <v>1</v>
      </c>
      <c r="L47" s="75"/>
      <c r="M47" s="75"/>
      <c r="N47" s="75"/>
      <c r="O47" s="49">
        <f aca="true" t="shared" si="10" ref="O47:V47">SUM(O8:O46)</f>
        <v>3122</v>
      </c>
      <c r="P47" s="49">
        <f t="shared" si="10"/>
        <v>776</v>
      </c>
      <c r="Q47" s="49">
        <f t="shared" si="10"/>
        <v>10.2</v>
      </c>
      <c r="R47" s="49">
        <f t="shared" si="10"/>
        <v>8.5</v>
      </c>
      <c r="S47" s="49">
        <f t="shared" si="10"/>
        <v>17.7</v>
      </c>
      <c r="T47" s="49">
        <f t="shared" si="10"/>
        <v>7.1</v>
      </c>
      <c r="U47" s="49">
        <f t="shared" si="10"/>
        <v>3</v>
      </c>
      <c r="V47" s="49">
        <f t="shared" si="10"/>
        <v>3944.5000000000005</v>
      </c>
      <c r="W47" s="76"/>
      <c r="X47" s="120"/>
    </row>
    <row r="48" spans="1:24" s="5" customFormat="1" ht="18" customHeight="1">
      <c r="A48" s="6"/>
      <c r="B48" s="7"/>
      <c r="C48" s="7"/>
      <c r="D48" s="7"/>
      <c r="E48" s="7">
        <f>SUM(E47:K47)</f>
        <v>597</v>
      </c>
      <c r="F48" s="8"/>
      <c r="G48" s="8"/>
      <c r="H48" s="8"/>
      <c r="I48" s="8"/>
      <c r="J48" s="8"/>
      <c r="K48" s="8"/>
      <c r="L48" s="8"/>
      <c r="M48" s="8"/>
      <c r="N48" s="8"/>
      <c r="V48" s="50">
        <f>SUM(O47:U47)</f>
        <v>3944.4999999999995</v>
      </c>
      <c r="W48" s="62"/>
      <c r="X48" s="62"/>
    </row>
    <row r="49" spans="1:24" s="5" customFormat="1" ht="15.75">
      <c r="A49" s="9"/>
      <c r="B49" s="10"/>
      <c r="C49" s="10"/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V49" s="55"/>
      <c r="W49" s="62"/>
      <c r="X49" s="62"/>
    </row>
    <row r="50" spans="1:24" s="5" customFormat="1" ht="15.75">
      <c r="A50" s="9"/>
      <c r="B50" s="10"/>
      <c r="C50" s="10"/>
      <c r="D50" s="10"/>
      <c r="E50" s="11"/>
      <c r="F50" s="11"/>
      <c r="G50" s="11"/>
      <c r="H50" s="11"/>
      <c r="I50" s="11"/>
      <c r="J50" s="11"/>
      <c r="K50" s="11"/>
      <c r="L50" s="11"/>
      <c r="M50" s="11"/>
      <c r="N50" s="11"/>
      <c r="W50" s="62"/>
      <c r="X50" s="62"/>
    </row>
    <row r="51" spans="1:24" s="5" customFormat="1" ht="15.75">
      <c r="A51" s="9"/>
      <c r="B51" s="10"/>
      <c r="C51" s="10"/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V51" s="51"/>
      <c r="W51" s="62"/>
      <c r="X51" s="62"/>
    </row>
    <row r="52" spans="1:24" s="5" customFormat="1" ht="15.75">
      <c r="A52" s="9"/>
      <c r="B52" s="10"/>
      <c r="C52" s="10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W52" s="62"/>
      <c r="X52" s="62"/>
    </row>
    <row r="53" spans="1:24" s="5" customFormat="1" ht="15.75">
      <c r="A53" s="9"/>
      <c r="B53" s="12"/>
      <c r="C53" s="12"/>
      <c r="D53" s="12"/>
      <c r="E53" s="11"/>
      <c r="F53" s="11"/>
      <c r="G53" s="11"/>
      <c r="H53" s="11"/>
      <c r="I53" s="11"/>
      <c r="J53" s="11"/>
      <c r="K53" s="11"/>
      <c r="L53" s="11"/>
      <c r="M53" s="11"/>
      <c r="N53" s="11"/>
      <c r="W53" s="62"/>
      <c r="X53" s="62"/>
    </row>
    <row r="54" spans="1:24" s="5" customFormat="1" ht="15.75">
      <c r="A54" s="9"/>
      <c r="B54" s="12"/>
      <c r="C54" s="12"/>
      <c r="D54" s="12"/>
      <c r="E54" s="11"/>
      <c r="F54" s="11"/>
      <c r="G54" s="11"/>
      <c r="H54" s="11"/>
      <c r="I54" s="11"/>
      <c r="J54" s="11"/>
      <c r="K54" s="11"/>
      <c r="L54" s="11"/>
      <c r="M54" s="11"/>
      <c r="N54" s="11"/>
      <c r="W54" s="62"/>
      <c r="X54" s="62"/>
    </row>
    <row r="55" spans="1:24" s="5" customFormat="1" ht="16.5" customHeight="1">
      <c r="A55" s="9"/>
      <c r="B55" s="10"/>
      <c r="C55" s="10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W55" s="62"/>
      <c r="X55" s="62"/>
    </row>
    <row r="56" spans="1:24" s="5" customFormat="1" ht="15.75">
      <c r="A56" s="9"/>
      <c r="B56" s="10"/>
      <c r="C56" s="10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W56" s="62"/>
      <c r="X56" s="62"/>
    </row>
    <row r="57" spans="1:24" s="5" customFormat="1" ht="15.75">
      <c r="A57" s="9"/>
      <c r="B57" s="10"/>
      <c r="C57" s="10"/>
      <c r="D57" s="10"/>
      <c r="E57" s="11"/>
      <c r="F57" s="11"/>
      <c r="G57" s="11"/>
      <c r="H57" s="11"/>
      <c r="I57" s="11"/>
      <c r="J57" s="11"/>
      <c r="K57" s="11"/>
      <c r="L57" s="11"/>
      <c r="M57" s="11"/>
      <c r="N57" s="11"/>
      <c r="W57" s="62"/>
      <c r="X57" s="62"/>
    </row>
    <row r="58" spans="1:24" s="5" customFormat="1" ht="15.75">
      <c r="A58" s="9"/>
      <c r="B58" s="10"/>
      <c r="C58" s="10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W58" s="62"/>
      <c r="X58" s="62"/>
    </row>
    <row r="59" spans="1:24" s="5" customFormat="1" ht="15.75">
      <c r="A59" s="9"/>
      <c r="B59" s="10"/>
      <c r="C59" s="10"/>
      <c r="D59" s="10"/>
      <c r="E59" s="11"/>
      <c r="F59" s="11"/>
      <c r="G59" s="11"/>
      <c r="H59" s="11"/>
      <c r="I59" s="11"/>
      <c r="J59" s="11"/>
      <c r="K59" s="11"/>
      <c r="L59" s="11"/>
      <c r="M59" s="11"/>
      <c r="N59" s="11"/>
      <c r="W59" s="62"/>
      <c r="X59" s="62"/>
    </row>
    <row r="60" spans="1:24" s="5" customFormat="1" ht="15.75">
      <c r="A60" s="9"/>
      <c r="B60" s="10"/>
      <c r="C60" s="10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W60" s="62"/>
      <c r="X60" s="62"/>
    </row>
    <row r="61" spans="1:24" s="5" customFormat="1" ht="15.75">
      <c r="A61" s="9"/>
      <c r="B61" s="13"/>
      <c r="C61" s="13"/>
      <c r="D61" s="13"/>
      <c r="E61" s="14"/>
      <c r="F61" s="14"/>
      <c r="G61" s="14"/>
      <c r="H61" s="14"/>
      <c r="I61" s="14"/>
      <c r="J61" s="14"/>
      <c r="K61" s="14"/>
      <c r="L61" s="14"/>
      <c r="M61" s="14"/>
      <c r="N61" s="14"/>
      <c r="W61" s="62"/>
      <c r="X61" s="62"/>
    </row>
    <row r="62" spans="1:24" s="15" customFormat="1" ht="16.5" customHeight="1">
      <c r="A62" s="239"/>
      <c r="B62" s="239"/>
      <c r="C62" s="239"/>
      <c r="D62" s="239"/>
      <c r="E62" s="239"/>
      <c r="F62" s="61"/>
      <c r="G62" s="61"/>
      <c r="H62" s="61"/>
      <c r="I62" s="61"/>
      <c r="J62" s="61"/>
      <c r="K62" s="61"/>
      <c r="L62" s="70"/>
      <c r="M62" s="74"/>
      <c r="N62" s="206"/>
      <c r="W62" s="64"/>
      <c r="X62" s="64"/>
    </row>
    <row r="63" spans="1:14" ht="15.75">
      <c r="A63" s="9"/>
      <c r="B63" s="12"/>
      <c r="C63" s="12"/>
      <c r="D63" s="12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ht="15.75">
      <c r="A64" s="9"/>
      <c r="B64" s="12"/>
      <c r="C64" s="12"/>
      <c r="D64" s="12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ht="15.75">
      <c r="A65" s="9"/>
      <c r="B65" s="12"/>
      <c r="C65" s="12"/>
      <c r="D65" s="12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5.75">
      <c r="A66" s="9"/>
      <c r="B66" s="12"/>
      <c r="C66" s="12"/>
      <c r="D66" s="12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ht="18" customHeight="1">
      <c r="A67" s="9"/>
      <c r="B67" s="12"/>
      <c r="C67" s="12"/>
      <c r="D67" s="12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ht="15.75">
      <c r="A68" s="9"/>
      <c r="B68" s="12"/>
      <c r="C68" s="12"/>
      <c r="D68" s="12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1:14" ht="15.75">
      <c r="A69" s="9"/>
      <c r="B69" s="12"/>
      <c r="C69" s="12"/>
      <c r="D69" s="12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ht="15.75">
      <c r="A70" s="9"/>
      <c r="B70" s="12"/>
      <c r="C70" s="12"/>
      <c r="D70" s="12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 ht="15.75">
      <c r="A71" s="9"/>
      <c r="B71" s="12"/>
      <c r="C71" s="12"/>
      <c r="D71" s="12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4" ht="15.75">
      <c r="A72" s="9"/>
      <c r="B72" s="12"/>
      <c r="C72" s="12"/>
      <c r="D72" s="12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ht="15.75">
      <c r="A73" s="9"/>
      <c r="B73" s="10"/>
      <c r="C73" s="10"/>
      <c r="D73" s="10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 ht="15.75">
      <c r="A74" s="9"/>
      <c r="B74" s="10"/>
      <c r="C74" s="10"/>
      <c r="D74" s="10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 ht="15.75">
      <c r="A75" s="9"/>
      <c r="B75" s="10"/>
      <c r="C75" s="10"/>
      <c r="D75" s="10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4" ht="15.75">
      <c r="A76" s="9"/>
      <c r="B76" s="10"/>
      <c r="C76" s="10"/>
      <c r="D76" s="10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1:14" ht="15.75">
      <c r="A77" s="9"/>
      <c r="B77" s="10"/>
      <c r="C77" s="10"/>
      <c r="D77" s="10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4" ht="15.75">
      <c r="A78" s="9"/>
      <c r="B78" s="10"/>
      <c r="C78" s="10"/>
      <c r="D78" s="10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1:14" ht="15.75">
      <c r="A79" s="9"/>
      <c r="B79" s="10"/>
      <c r="C79" s="10"/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4" ht="15.75">
      <c r="A80" s="9"/>
      <c r="B80" s="10"/>
      <c r="C80" s="10"/>
      <c r="D80" s="10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5.75">
      <c r="A81" s="9"/>
      <c r="B81" s="10"/>
      <c r="C81" s="10"/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 ht="15.75">
      <c r="A82" s="9"/>
      <c r="B82" s="10"/>
      <c r="C82" s="10"/>
      <c r="D82" s="10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4" ht="15.75">
      <c r="A83" s="9"/>
      <c r="B83" s="10"/>
      <c r="C83" s="10"/>
      <c r="D83" s="10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ht="15.75">
      <c r="A84" s="9"/>
      <c r="B84" s="10"/>
      <c r="C84" s="10"/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1:14" ht="15.75">
      <c r="A85" s="9"/>
      <c r="B85" s="10"/>
      <c r="C85" s="10"/>
      <c r="D85" s="10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 ht="15.75">
      <c r="A86" s="9"/>
      <c r="B86" s="10"/>
      <c r="C86" s="10"/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ht="15.75">
      <c r="A87" s="9"/>
      <c r="B87" s="10"/>
      <c r="C87" s="10"/>
      <c r="D87" s="10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4" ht="15.75">
      <c r="A88" s="9"/>
      <c r="B88" s="10"/>
      <c r="C88" s="10"/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1:14" ht="15.75">
      <c r="A89" s="9"/>
      <c r="B89" s="10"/>
      <c r="C89" s="10"/>
      <c r="D89" s="10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 ht="15.75">
      <c r="A90" s="9"/>
      <c r="B90" s="10"/>
      <c r="C90" s="10"/>
      <c r="D90" s="10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1:14" ht="15.75">
      <c r="A91" s="9"/>
      <c r="B91" s="10"/>
      <c r="C91" s="10"/>
      <c r="D91" s="10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14" ht="15.75">
      <c r="A92" s="9"/>
      <c r="B92" s="10"/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4" ht="15.75">
      <c r="A93" s="9"/>
      <c r="B93" s="10"/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1:14" ht="15.75">
      <c r="A94" s="9"/>
      <c r="B94" s="10"/>
      <c r="C94" s="10"/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4" ht="15.75">
      <c r="A95" s="9"/>
      <c r="B95" s="10"/>
      <c r="C95" s="10"/>
      <c r="D95" s="10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4" ht="15.75">
      <c r="A96" s="9"/>
      <c r="B96" s="10"/>
      <c r="C96" s="10"/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 ht="15.75">
      <c r="A97" s="9"/>
      <c r="B97" s="10"/>
      <c r="C97" s="10"/>
      <c r="D97" s="10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1:14" ht="15.75">
      <c r="A98" s="9"/>
      <c r="B98" s="10"/>
      <c r="C98" s="10"/>
      <c r="D98" s="10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1:14" ht="15.75">
      <c r="A99" s="9"/>
      <c r="B99" s="10"/>
      <c r="C99" s="10"/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1:14" ht="15.75">
      <c r="A100" s="9"/>
      <c r="B100" s="10"/>
      <c r="C100" s="10"/>
      <c r="D100" s="10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14" ht="15.75">
      <c r="A101" s="9"/>
      <c r="B101" s="10"/>
      <c r="C101" s="10"/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1:14" ht="15.75">
      <c r="A102" s="9"/>
      <c r="B102" s="10"/>
      <c r="C102" s="10"/>
      <c r="D102" s="10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1:14" ht="15.75">
      <c r="A103" s="9"/>
      <c r="B103" s="10"/>
      <c r="C103" s="10"/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1:14" ht="15.75">
      <c r="A104" s="9"/>
      <c r="B104" s="10"/>
      <c r="C104" s="10"/>
      <c r="D104" s="10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1:14" ht="15.75">
      <c r="A105" s="9"/>
      <c r="B105" s="10"/>
      <c r="C105" s="10"/>
      <c r="D105" s="10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1:14" ht="15.75">
      <c r="A106" s="9"/>
      <c r="B106" s="10"/>
      <c r="C106" s="10"/>
      <c r="D106" s="10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1:14" ht="15.75">
      <c r="A107" s="17"/>
      <c r="B107" s="18"/>
      <c r="C107" s="18"/>
      <c r="D107" s="18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 ht="18.75">
      <c r="A108" s="19"/>
      <c r="B108" s="19"/>
      <c r="C108" s="19"/>
      <c r="D108" s="19"/>
      <c r="E108" s="20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1:14" ht="15.75">
      <c r="A109" s="17"/>
      <c r="B109" s="17"/>
      <c r="C109" s="17"/>
      <c r="D109" s="17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</sheetData>
  <sheetProtection/>
  <mergeCells count="17">
    <mergeCell ref="X3:X7"/>
    <mergeCell ref="B6:B7"/>
    <mergeCell ref="E3:K3"/>
    <mergeCell ref="L3:L7"/>
    <mergeCell ref="M3:M7"/>
    <mergeCell ref="O3:V4"/>
    <mergeCell ref="W3:W7"/>
    <mergeCell ref="N3:N7"/>
    <mergeCell ref="D3:D7"/>
    <mergeCell ref="A62:E62"/>
    <mergeCell ref="O5:U5"/>
    <mergeCell ref="V5:V7"/>
    <mergeCell ref="A1:K1"/>
    <mergeCell ref="E4:K4"/>
    <mergeCell ref="A3:A7"/>
    <mergeCell ref="B3:B5"/>
    <mergeCell ref="C3:C7"/>
  </mergeCells>
  <printOptions horizontalCentered="1"/>
  <pageMargins left="0" right="0" top="0" bottom="0" header="0" footer="0"/>
  <pageSetup horizontalDpi="600" verticalDpi="600" orientation="landscape" paperSize="9" scale="50" r:id="rId1"/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08"/>
  <sheetViews>
    <sheetView view="pageBreakPreview" zoomScale="71" zoomScaleNormal="74" zoomScaleSheetLayoutView="71" zoomScalePageLayoutView="0" workbookViewId="0" topLeftCell="A1">
      <pane xSplit="2" ySplit="6" topLeftCell="H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1" sqref="N1:O16384"/>
    </sheetView>
  </sheetViews>
  <sheetFormatPr defaultColWidth="9.140625" defaultRowHeight="12.75"/>
  <cols>
    <col min="1" max="1" width="9.00390625" style="3" customWidth="1"/>
    <col min="2" max="2" width="36.140625" style="3" customWidth="1"/>
    <col min="3" max="3" width="25.140625" style="3" customWidth="1"/>
    <col min="4" max="4" width="21.7109375" style="16" customWidth="1"/>
    <col min="5" max="5" width="23.00390625" style="16" customWidth="1"/>
    <col min="6" max="6" width="20.57421875" style="16" customWidth="1"/>
    <col min="7" max="7" width="22.7109375" style="16" customWidth="1"/>
    <col min="8" max="8" width="23.8515625" style="16" customWidth="1"/>
    <col min="9" max="9" width="23.28125" style="16" customWidth="1"/>
    <col min="10" max="12" width="21.28125" style="16" customWidth="1"/>
    <col min="13" max="13" width="24.00390625" style="16" customWidth="1"/>
    <col min="14" max="14" width="22.28125" style="65" customWidth="1"/>
    <col min="15" max="15" width="25.28125" style="16" customWidth="1"/>
    <col min="16" max="16384" width="9.140625" style="16" customWidth="1"/>
  </cols>
  <sheetData>
    <row r="1" spans="1:14" s="5" customFormat="1" ht="18.75">
      <c r="A1" s="257"/>
      <c r="B1" s="257"/>
      <c r="C1" s="257"/>
      <c r="D1" s="257"/>
      <c r="E1" s="257"/>
      <c r="F1" s="257"/>
      <c r="M1" s="5" t="s">
        <v>82</v>
      </c>
      <c r="N1" s="62"/>
    </row>
    <row r="2" spans="1:14" s="81" customFormat="1" ht="15.75" customHeight="1">
      <c r="A2" s="244" t="s">
        <v>75</v>
      </c>
      <c r="B2" s="237" t="s">
        <v>71</v>
      </c>
      <c r="C2" s="254" t="s">
        <v>79</v>
      </c>
      <c r="D2" s="253" t="s">
        <v>73</v>
      </c>
      <c r="E2" s="253"/>
      <c r="F2" s="253"/>
      <c r="G2" s="253"/>
      <c r="H2" s="253"/>
      <c r="I2" s="253"/>
      <c r="J2" s="243" t="s">
        <v>77</v>
      </c>
      <c r="K2" s="243" t="s">
        <v>78</v>
      </c>
      <c r="L2" s="243" t="s">
        <v>91</v>
      </c>
      <c r="M2" s="261" t="s">
        <v>86</v>
      </c>
      <c r="N2" s="80"/>
    </row>
    <row r="3" spans="1:15" s="81" customFormat="1" ht="36.75" customHeight="1">
      <c r="A3" s="245"/>
      <c r="B3" s="238"/>
      <c r="C3" s="255"/>
      <c r="D3" s="253"/>
      <c r="E3" s="253"/>
      <c r="F3" s="253"/>
      <c r="G3" s="253"/>
      <c r="H3" s="253"/>
      <c r="I3" s="253"/>
      <c r="J3" s="243"/>
      <c r="K3" s="243"/>
      <c r="L3" s="243"/>
      <c r="M3" s="262"/>
      <c r="N3" s="237"/>
      <c r="O3" s="237"/>
    </row>
    <row r="4" spans="1:15" s="81" customFormat="1" ht="62.25" customHeight="1">
      <c r="A4" s="245"/>
      <c r="B4" s="238"/>
      <c r="C4" s="255"/>
      <c r="D4" s="264" t="s">
        <v>45</v>
      </c>
      <c r="E4" s="265"/>
      <c r="F4" s="265"/>
      <c r="G4" s="265"/>
      <c r="H4" s="265"/>
      <c r="I4" s="265"/>
      <c r="J4" s="243"/>
      <c r="K4" s="243"/>
      <c r="L4" s="243"/>
      <c r="M4" s="262"/>
      <c r="N4" s="238"/>
      <c r="O4" s="238"/>
    </row>
    <row r="5" spans="1:15" s="81" customFormat="1" ht="65.25" customHeight="1">
      <c r="A5" s="245"/>
      <c r="B5" s="236" t="s">
        <v>70</v>
      </c>
      <c r="C5" s="255"/>
      <c r="D5" s="86" t="s">
        <v>47</v>
      </c>
      <c r="E5" s="87" t="s">
        <v>48</v>
      </c>
      <c r="F5" s="86" t="s">
        <v>49</v>
      </c>
      <c r="G5" s="86" t="s">
        <v>54</v>
      </c>
      <c r="H5" s="86" t="s">
        <v>55</v>
      </c>
      <c r="I5" s="129" t="s">
        <v>50</v>
      </c>
      <c r="J5" s="243"/>
      <c r="K5" s="243"/>
      <c r="L5" s="243"/>
      <c r="M5" s="262"/>
      <c r="N5" s="238"/>
      <c r="O5" s="238"/>
    </row>
    <row r="6" spans="1:15" s="81" customFormat="1" ht="85.5" customHeight="1">
      <c r="A6" s="246"/>
      <c r="B6" s="236"/>
      <c r="C6" s="256"/>
      <c r="D6" s="84" t="s">
        <v>43</v>
      </c>
      <c r="E6" s="84" t="s">
        <v>43</v>
      </c>
      <c r="F6" s="84" t="s">
        <v>43</v>
      </c>
      <c r="G6" s="84" t="s">
        <v>43</v>
      </c>
      <c r="H6" s="84" t="s">
        <v>43</v>
      </c>
      <c r="I6" s="88" t="s">
        <v>43</v>
      </c>
      <c r="J6" s="243"/>
      <c r="K6" s="243"/>
      <c r="L6" s="243"/>
      <c r="M6" s="263"/>
      <c r="N6" s="240"/>
      <c r="O6" s="240"/>
    </row>
    <row r="7" spans="1:15" s="5" customFormat="1" ht="15.75">
      <c r="A7" s="22">
        <v>1</v>
      </c>
      <c r="B7" s="23" t="s">
        <v>0</v>
      </c>
      <c r="C7" s="100">
        <v>2</v>
      </c>
      <c r="D7" s="148">
        <v>5610</v>
      </c>
      <c r="E7" s="149">
        <v>1020</v>
      </c>
      <c r="F7" s="150">
        <v>2040</v>
      </c>
      <c r="G7" s="151"/>
      <c r="H7" s="151">
        <v>3060</v>
      </c>
      <c r="I7" s="24"/>
      <c r="J7" s="152">
        <v>1</v>
      </c>
      <c r="K7" s="153">
        <v>2.25</v>
      </c>
      <c r="L7" s="217">
        <v>1.03</v>
      </c>
      <c r="M7" s="52">
        <f>ROUND((D7+E7+F7+G7+H7+I7)*J7*K7*L7/1000*8/12,1)</f>
        <v>18.1</v>
      </c>
      <c r="N7" s="153"/>
      <c r="O7" s="153"/>
    </row>
    <row r="8" spans="1:15" s="5" customFormat="1" ht="15.75">
      <c r="A8" s="25">
        <v>2</v>
      </c>
      <c r="B8" s="23" t="s">
        <v>60</v>
      </c>
      <c r="C8" s="95">
        <v>3</v>
      </c>
      <c r="D8" s="24">
        <v>2625</v>
      </c>
      <c r="E8" s="151">
        <v>3675</v>
      </c>
      <c r="F8" s="150">
        <v>1575</v>
      </c>
      <c r="G8" s="151"/>
      <c r="H8" s="151">
        <v>5250</v>
      </c>
      <c r="I8" s="24">
        <v>1050</v>
      </c>
      <c r="J8" s="152">
        <v>1</v>
      </c>
      <c r="K8" s="153">
        <v>3.35</v>
      </c>
      <c r="L8" s="153">
        <v>1.04</v>
      </c>
      <c r="M8" s="52">
        <f aca="true" t="shared" si="0" ref="M8:M45">ROUND((D8+E8+F8+G8+H8+I8)*J8*K8*L8/1000*8/12,1)</f>
        <v>32.9</v>
      </c>
      <c r="N8" s="153"/>
      <c r="O8" s="153"/>
    </row>
    <row r="9" spans="1:15" s="5" customFormat="1" ht="15.75">
      <c r="A9" s="25">
        <v>3</v>
      </c>
      <c r="B9" s="23" t="s">
        <v>1</v>
      </c>
      <c r="C9" s="95">
        <v>2</v>
      </c>
      <c r="D9" s="24">
        <v>4200</v>
      </c>
      <c r="E9" s="151"/>
      <c r="F9" s="150">
        <v>1050</v>
      </c>
      <c r="G9" s="151">
        <v>2625</v>
      </c>
      <c r="H9" s="151">
        <v>3675</v>
      </c>
      <c r="I9" s="24">
        <v>2100</v>
      </c>
      <c r="J9" s="152">
        <v>1</v>
      </c>
      <c r="K9" s="153">
        <v>1.681</v>
      </c>
      <c r="L9" s="153">
        <v>1.035</v>
      </c>
      <c r="M9" s="52">
        <f t="shared" si="0"/>
        <v>15.8</v>
      </c>
      <c r="N9" s="153"/>
      <c r="O9" s="153"/>
    </row>
    <row r="10" spans="1:15" s="5" customFormat="1" ht="15.75">
      <c r="A10" s="25">
        <v>4</v>
      </c>
      <c r="B10" s="23" t="s">
        <v>2</v>
      </c>
      <c r="C10" s="95">
        <v>6</v>
      </c>
      <c r="D10" s="154">
        <v>1050</v>
      </c>
      <c r="E10" s="155">
        <v>1050</v>
      </c>
      <c r="F10" s="156">
        <v>1575</v>
      </c>
      <c r="G10" s="155"/>
      <c r="H10" s="155">
        <v>1920</v>
      </c>
      <c r="I10" s="154">
        <v>720</v>
      </c>
      <c r="J10" s="152">
        <v>1</v>
      </c>
      <c r="K10" s="153">
        <v>5.57</v>
      </c>
      <c r="L10" s="153">
        <v>1.051</v>
      </c>
      <c r="M10" s="52">
        <f t="shared" si="0"/>
        <v>24.6</v>
      </c>
      <c r="N10" s="153"/>
      <c r="O10" s="153"/>
    </row>
    <row r="11" spans="1:15" s="5" customFormat="1" ht="15.75">
      <c r="A11" s="25">
        <v>5</v>
      </c>
      <c r="B11" s="23" t="s">
        <v>59</v>
      </c>
      <c r="C11" s="95"/>
      <c r="D11" s="24"/>
      <c r="E11" s="151"/>
      <c r="F11" s="150"/>
      <c r="G11" s="151"/>
      <c r="H11" s="151"/>
      <c r="I11" s="24"/>
      <c r="J11" s="152">
        <v>1</v>
      </c>
      <c r="K11" s="153">
        <f>ROUND(C11/J11,3)</f>
        <v>0</v>
      </c>
      <c r="L11" s="153">
        <v>1.07</v>
      </c>
      <c r="M11" s="52">
        <f t="shared" si="0"/>
        <v>0</v>
      </c>
      <c r="N11" s="153"/>
      <c r="O11" s="153"/>
    </row>
    <row r="12" spans="1:15" s="5" customFormat="1" ht="15.75">
      <c r="A12" s="25">
        <v>6</v>
      </c>
      <c r="B12" s="23" t="s">
        <v>3</v>
      </c>
      <c r="C12" s="95">
        <v>5</v>
      </c>
      <c r="D12" s="24">
        <v>3168</v>
      </c>
      <c r="E12" s="151">
        <v>864</v>
      </c>
      <c r="F12" s="150">
        <v>256</v>
      </c>
      <c r="G12" s="151"/>
      <c r="H12" s="151">
        <v>240</v>
      </c>
      <c r="I12" s="24">
        <v>960</v>
      </c>
      <c r="J12" s="152">
        <v>1</v>
      </c>
      <c r="K12" s="153">
        <v>5.2</v>
      </c>
      <c r="L12" s="153">
        <v>1.034</v>
      </c>
      <c r="M12" s="52">
        <f t="shared" si="0"/>
        <v>19.7</v>
      </c>
      <c r="N12" s="153"/>
      <c r="O12" s="153"/>
    </row>
    <row r="13" spans="1:15" s="5" customFormat="1" ht="15.75" customHeight="1">
      <c r="A13" s="25">
        <v>7</v>
      </c>
      <c r="B13" s="23" t="s">
        <v>4</v>
      </c>
      <c r="C13" s="118">
        <v>2</v>
      </c>
      <c r="D13" s="24">
        <v>3675</v>
      </c>
      <c r="E13" s="151">
        <v>2100</v>
      </c>
      <c r="F13" s="150">
        <v>1050</v>
      </c>
      <c r="G13" s="151"/>
      <c r="H13" s="151">
        <v>4200</v>
      </c>
      <c r="I13" s="24">
        <v>3150</v>
      </c>
      <c r="J13" s="152">
        <v>1</v>
      </c>
      <c r="K13" s="153">
        <v>2.271</v>
      </c>
      <c r="L13" s="153">
        <v>1.032</v>
      </c>
      <c r="M13" s="52">
        <f t="shared" si="0"/>
        <v>22.1</v>
      </c>
      <c r="N13" s="153"/>
      <c r="O13" s="153"/>
    </row>
    <row r="14" spans="1:15" s="28" customFormat="1" ht="15.75">
      <c r="A14" s="26">
        <v>8</v>
      </c>
      <c r="B14" s="27" t="s">
        <v>5</v>
      </c>
      <c r="C14" s="96">
        <v>6</v>
      </c>
      <c r="D14" s="24">
        <v>2480</v>
      </c>
      <c r="E14" s="151">
        <v>720</v>
      </c>
      <c r="F14" s="150">
        <v>1440</v>
      </c>
      <c r="G14" s="151"/>
      <c r="H14" s="151">
        <v>1888</v>
      </c>
      <c r="I14" s="24">
        <v>560</v>
      </c>
      <c r="J14" s="152">
        <v>1</v>
      </c>
      <c r="K14" s="153">
        <v>5.68</v>
      </c>
      <c r="L14" s="153">
        <v>1.02</v>
      </c>
      <c r="M14" s="52">
        <f t="shared" si="0"/>
        <v>27.4</v>
      </c>
      <c r="N14" s="153"/>
      <c r="O14" s="153"/>
    </row>
    <row r="15" spans="1:15" s="5" customFormat="1" ht="15.75">
      <c r="A15" s="25">
        <v>9</v>
      </c>
      <c r="B15" s="23" t="s">
        <v>6</v>
      </c>
      <c r="C15" s="95"/>
      <c r="D15" s="24"/>
      <c r="E15" s="151"/>
      <c r="F15" s="150"/>
      <c r="G15" s="151"/>
      <c r="H15" s="151"/>
      <c r="I15" s="24"/>
      <c r="J15" s="152">
        <v>1</v>
      </c>
      <c r="K15" s="153">
        <f>ROUND(C15/J15,3)</f>
        <v>0</v>
      </c>
      <c r="L15" s="153">
        <v>1.064</v>
      </c>
      <c r="M15" s="52">
        <f t="shared" si="0"/>
        <v>0</v>
      </c>
      <c r="N15" s="153"/>
      <c r="O15" s="153"/>
    </row>
    <row r="16" spans="1:15" s="5" customFormat="1" ht="15.75">
      <c r="A16" s="26">
        <v>10</v>
      </c>
      <c r="B16" s="30" t="s">
        <v>7</v>
      </c>
      <c r="C16" s="97">
        <v>3</v>
      </c>
      <c r="D16" s="24">
        <v>2550</v>
      </c>
      <c r="E16" s="151">
        <v>2040</v>
      </c>
      <c r="F16" s="150"/>
      <c r="G16" s="151"/>
      <c r="H16" s="151">
        <v>1530</v>
      </c>
      <c r="I16" s="24">
        <v>3060</v>
      </c>
      <c r="J16" s="152">
        <v>1</v>
      </c>
      <c r="K16" s="153">
        <v>3.315</v>
      </c>
      <c r="L16" s="153">
        <v>1.045</v>
      </c>
      <c r="M16" s="52">
        <f t="shared" si="0"/>
        <v>21.2</v>
      </c>
      <c r="N16" s="153"/>
      <c r="O16" s="153"/>
    </row>
    <row r="17" spans="1:15" s="5" customFormat="1" ht="15.75">
      <c r="A17" s="25">
        <v>11</v>
      </c>
      <c r="B17" s="30" t="s">
        <v>8</v>
      </c>
      <c r="C17" s="97">
        <v>1</v>
      </c>
      <c r="D17" s="24">
        <v>4725</v>
      </c>
      <c r="E17" s="151">
        <v>4725</v>
      </c>
      <c r="F17" s="150">
        <v>2100</v>
      </c>
      <c r="G17" s="151"/>
      <c r="H17" s="151">
        <v>18450</v>
      </c>
      <c r="I17" s="24">
        <v>2100</v>
      </c>
      <c r="J17" s="152">
        <v>1</v>
      </c>
      <c r="K17" s="153">
        <v>0.906</v>
      </c>
      <c r="L17" s="153">
        <v>1.057</v>
      </c>
      <c r="M17" s="52">
        <f t="shared" si="0"/>
        <v>20.5</v>
      </c>
      <c r="N17" s="153"/>
      <c r="O17" s="153"/>
    </row>
    <row r="18" spans="1:15" s="5" customFormat="1" ht="15.75">
      <c r="A18" s="26">
        <v>12</v>
      </c>
      <c r="B18" s="30" t="s">
        <v>9</v>
      </c>
      <c r="C18" s="97">
        <v>1</v>
      </c>
      <c r="D18" s="24">
        <v>13260</v>
      </c>
      <c r="E18" s="151">
        <v>3150</v>
      </c>
      <c r="F18" s="150">
        <v>3150</v>
      </c>
      <c r="G18" s="151"/>
      <c r="H18" s="151">
        <v>4200</v>
      </c>
      <c r="I18" s="24">
        <v>8120</v>
      </c>
      <c r="J18" s="152">
        <v>1</v>
      </c>
      <c r="K18" s="153">
        <v>1.192</v>
      </c>
      <c r="L18" s="153">
        <v>1.054</v>
      </c>
      <c r="M18" s="52">
        <f t="shared" si="0"/>
        <v>26.7</v>
      </c>
      <c r="N18" s="153"/>
      <c r="O18" s="153"/>
    </row>
    <row r="19" spans="1:15" s="5" customFormat="1" ht="15.75">
      <c r="A19" s="25">
        <v>13</v>
      </c>
      <c r="B19" s="30" t="s">
        <v>10</v>
      </c>
      <c r="C19" s="97">
        <v>3</v>
      </c>
      <c r="D19" s="24">
        <v>4200</v>
      </c>
      <c r="E19" s="151">
        <v>4200</v>
      </c>
      <c r="F19" s="150">
        <v>1050</v>
      </c>
      <c r="G19" s="151"/>
      <c r="H19" s="151">
        <v>5530</v>
      </c>
      <c r="I19" s="24">
        <v>1050</v>
      </c>
      <c r="J19" s="152">
        <v>1</v>
      </c>
      <c r="K19" s="153">
        <v>2.93</v>
      </c>
      <c r="L19" s="153">
        <v>1.033</v>
      </c>
      <c r="M19" s="52">
        <f t="shared" si="0"/>
        <v>32.3</v>
      </c>
      <c r="N19" s="153"/>
      <c r="O19" s="153"/>
    </row>
    <row r="20" spans="1:15" s="5" customFormat="1" ht="19.5" customHeight="1">
      <c r="A20" s="26">
        <v>14</v>
      </c>
      <c r="B20" s="30" t="s">
        <v>11</v>
      </c>
      <c r="C20" s="97">
        <v>4</v>
      </c>
      <c r="D20" s="24">
        <v>1050</v>
      </c>
      <c r="E20" s="151"/>
      <c r="F20" s="150">
        <v>1050</v>
      </c>
      <c r="G20" s="151"/>
      <c r="H20" s="151">
        <v>1575</v>
      </c>
      <c r="I20" s="24">
        <v>1050</v>
      </c>
      <c r="J20" s="152">
        <v>1</v>
      </c>
      <c r="K20" s="153">
        <v>4.38</v>
      </c>
      <c r="L20" s="153">
        <v>1.07</v>
      </c>
      <c r="M20" s="52">
        <f t="shared" si="0"/>
        <v>14.8</v>
      </c>
      <c r="N20" s="153"/>
      <c r="O20" s="153"/>
    </row>
    <row r="21" spans="1:15" s="5" customFormat="1" ht="15.75">
      <c r="A21" s="25">
        <v>15</v>
      </c>
      <c r="B21" s="30" t="s">
        <v>12</v>
      </c>
      <c r="C21" s="97">
        <v>2</v>
      </c>
      <c r="D21" s="24">
        <v>6355</v>
      </c>
      <c r="E21" s="151">
        <v>2975</v>
      </c>
      <c r="F21" s="150">
        <v>2800</v>
      </c>
      <c r="G21" s="151"/>
      <c r="H21" s="151">
        <v>3675</v>
      </c>
      <c r="I21" s="24">
        <v>1400</v>
      </c>
      <c r="J21" s="152">
        <v>1</v>
      </c>
      <c r="K21" s="153">
        <v>2.435</v>
      </c>
      <c r="L21" s="153">
        <v>1.033</v>
      </c>
      <c r="M21" s="52">
        <f t="shared" si="0"/>
        <v>28.9</v>
      </c>
      <c r="N21" s="153"/>
      <c r="O21" s="153"/>
    </row>
    <row r="22" spans="1:15" s="34" customFormat="1" ht="15.75" customHeight="1">
      <c r="A22" s="26">
        <v>16</v>
      </c>
      <c r="B22" s="32" t="s">
        <v>13</v>
      </c>
      <c r="C22" s="98"/>
      <c r="D22" s="33"/>
      <c r="E22" s="33"/>
      <c r="F22" s="33"/>
      <c r="G22" s="33"/>
      <c r="H22" s="33"/>
      <c r="I22" s="33"/>
      <c r="J22" s="152">
        <v>1</v>
      </c>
      <c r="K22" s="153">
        <f>ROUND(C22/J22,3)</f>
        <v>0</v>
      </c>
      <c r="L22" s="153">
        <v>1.033</v>
      </c>
      <c r="M22" s="52">
        <f t="shared" si="0"/>
        <v>0</v>
      </c>
      <c r="N22" s="153"/>
      <c r="O22" s="153"/>
    </row>
    <row r="23" spans="1:15" s="37" customFormat="1" ht="19.5" customHeight="1">
      <c r="A23" s="25">
        <v>17</v>
      </c>
      <c r="B23" s="32" t="s">
        <v>14</v>
      </c>
      <c r="C23" s="98">
        <v>2</v>
      </c>
      <c r="D23" s="35">
        <v>2040</v>
      </c>
      <c r="E23" s="157">
        <v>525</v>
      </c>
      <c r="F23" s="36">
        <v>1515</v>
      </c>
      <c r="G23" s="157"/>
      <c r="H23" s="157">
        <v>2010</v>
      </c>
      <c r="I23" s="35">
        <v>510</v>
      </c>
      <c r="J23" s="152">
        <v>1</v>
      </c>
      <c r="K23" s="153">
        <v>2.41</v>
      </c>
      <c r="L23" s="153">
        <v>1.046</v>
      </c>
      <c r="M23" s="52">
        <f t="shared" si="0"/>
        <v>11.1</v>
      </c>
      <c r="N23" s="153"/>
      <c r="O23" s="153"/>
    </row>
    <row r="24" spans="1:15" s="5" customFormat="1" ht="15.75">
      <c r="A24" s="26">
        <v>18</v>
      </c>
      <c r="B24" s="30" t="s">
        <v>15</v>
      </c>
      <c r="C24" s="97">
        <v>1</v>
      </c>
      <c r="D24" s="24">
        <v>1680</v>
      </c>
      <c r="E24" s="151"/>
      <c r="F24" s="150">
        <v>5985</v>
      </c>
      <c r="G24" s="151"/>
      <c r="H24" s="151">
        <v>3220</v>
      </c>
      <c r="I24" s="24">
        <v>1540</v>
      </c>
      <c r="J24" s="152">
        <v>1</v>
      </c>
      <c r="K24" s="153">
        <v>1.243</v>
      </c>
      <c r="L24" s="153">
        <v>1.09</v>
      </c>
      <c r="M24" s="52">
        <f t="shared" si="0"/>
        <v>11.2</v>
      </c>
      <c r="N24" s="153"/>
      <c r="O24" s="153"/>
    </row>
    <row r="25" spans="1:15" s="34" customFormat="1" ht="21" customHeight="1">
      <c r="A25" s="25">
        <v>19</v>
      </c>
      <c r="B25" s="32" t="s">
        <v>16</v>
      </c>
      <c r="C25" s="98">
        <v>6</v>
      </c>
      <c r="D25" s="24"/>
      <c r="E25" s="151">
        <v>1575</v>
      </c>
      <c r="F25" s="150"/>
      <c r="G25" s="151"/>
      <c r="H25" s="151">
        <v>2100</v>
      </c>
      <c r="I25" s="24">
        <v>2625</v>
      </c>
      <c r="J25" s="152">
        <v>1</v>
      </c>
      <c r="K25" s="153">
        <v>6.285</v>
      </c>
      <c r="L25" s="153">
        <v>1.036</v>
      </c>
      <c r="M25" s="52">
        <f t="shared" si="0"/>
        <v>27.3</v>
      </c>
      <c r="N25" s="153"/>
      <c r="O25" s="153"/>
    </row>
    <row r="26" spans="1:15" s="5" customFormat="1" ht="15.75">
      <c r="A26" s="26">
        <v>20</v>
      </c>
      <c r="B26" s="30" t="s">
        <v>17</v>
      </c>
      <c r="C26" s="97">
        <v>6</v>
      </c>
      <c r="D26" s="24">
        <v>1575</v>
      </c>
      <c r="E26" s="151">
        <v>525</v>
      </c>
      <c r="F26" s="150"/>
      <c r="G26" s="151"/>
      <c r="H26" s="151">
        <v>1575</v>
      </c>
      <c r="I26" s="24">
        <v>1050</v>
      </c>
      <c r="J26" s="152">
        <v>1</v>
      </c>
      <c r="K26" s="153">
        <v>6.28</v>
      </c>
      <c r="L26" s="153">
        <v>1.045</v>
      </c>
      <c r="M26" s="52">
        <f t="shared" si="0"/>
        <v>20.7</v>
      </c>
      <c r="N26" s="153"/>
      <c r="O26" s="153"/>
    </row>
    <row r="27" spans="1:15" s="5" customFormat="1" ht="15.75">
      <c r="A27" s="25">
        <v>21</v>
      </c>
      <c r="B27" s="30" t="s">
        <v>18</v>
      </c>
      <c r="C27" s="97">
        <v>5</v>
      </c>
      <c r="D27" s="24">
        <v>4725</v>
      </c>
      <c r="E27" s="151"/>
      <c r="F27" s="150"/>
      <c r="G27" s="151"/>
      <c r="H27" s="151"/>
      <c r="I27" s="24"/>
      <c r="J27" s="152">
        <v>1</v>
      </c>
      <c r="K27" s="153">
        <v>5.1</v>
      </c>
      <c r="L27" s="153">
        <v>1.039</v>
      </c>
      <c r="M27" s="52">
        <f t="shared" si="0"/>
        <v>16.7</v>
      </c>
      <c r="N27" s="153"/>
      <c r="O27" s="153"/>
    </row>
    <row r="28" spans="1:15" s="37" customFormat="1" ht="15" customHeight="1">
      <c r="A28" s="26">
        <v>22</v>
      </c>
      <c r="B28" s="32" t="s">
        <v>19</v>
      </c>
      <c r="C28" s="98">
        <v>8</v>
      </c>
      <c r="D28" s="35">
        <v>525</v>
      </c>
      <c r="E28" s="157">
        <v>1050</v>
      </c>
      <c r="F28" s="36">
        <v>525</v>
      </c>
      <c r="G28" s="157"/>
      <c r="H28" s="157">
        <v>1050</v>
      </c>
      <c r="I28" s="35">
        <v>1575</v>
      </c>
      <c r="J28" s="152">
        <v>1</v>
      </c>
      <c r="K28" s="153">
        <v>7.6</v>
      </c>
      <c r="L28" s="153">
        <v>1.046</v>
      </c>
      <c r="M28" s="52">
        <f t="shared" si="0"/>
        <v>25</v>
      </c>
      <c r="N28" s="153"/>
      <c r="O28" s="153"/>
    </row>
    <row r="29" spans="1:15" s="34" customFormat="1" ht="18.75" customHeight="1">
      <c r="A29" s="25">
        <v>23</v>
      </c>
      <c r="B29" s="32" t="s">
        <v>20</v>
      </c>
      <c r="C29" s="98">
        <v>3</v>
      </c>
      <c r="D29" s="24">
        <v>4235</v>
      </c>
      <c r="E29" s="151">
        <v>1050</v>
      </c>
      <c r="F29" s="150">
        <v>910</v>
      </c>
      <c r="G29" s="151"/>
      <c r="H29" s="151">
        <v>1750</v>
      </c>
      <c r="I29" s="24">
        <v>980</v>
      </c>
      <c r="J29" s="152">
        <v>1</v>
      </c>
      <c r="K29" s="153">
        <v>2.78</v>
      </c>
      <c r="L29" s="153">
        <v>1.033</v>
      </c>
      <c r="M29" s="52">
        <f t="shared" si="0"/>
        <v>17.1</v>
      </c>
      <c r="N29" s="153"/>
      <c r="O29" s="153"/>
    </row>
    <row r="30" spans="1:15" s="5" customFormat="1" ht="15.75">
      <c r="A30" s="26">
        <v>24</v>
      </c>
      <c r="B30" s="30" t="s">
        <v>21</v>
      </c>
      <c r="C30" s="97">
        <v>4</v>
      </c>
      <c r="D30" s="24">
        <v>1260</v>
      </c>
      <c r="E30" s="151">
        <v>315</v>
      </c>
      <c r="F30" s="150">
        <v>1470</v>
      </c>
      <c r="G30" s="151"/>
      <c r="H30" s="151">
        <v>1050</v>
      </c>
      <c r="I30" s="24">
        <v>245</v>
      </c>
      <c r="J30" s="152">
        <v>1</v>
      </c>
      <c r="K30" s="153">
        <v>4.43</v>
      </c>
      <c r="L30" s="153">
        <v>1.057</v>
      </c>
      <c r="M30" s="52">
        <f t="shared" si="0"/>
        <v>13.5</v>
      </c>
      <c r="N30" s="153"/>
      <c r="O30" s="153"/>
    </row>
    <row r="31" spans="1:15" s="5" customFormat="1" ht="15.75">
      <c r="A31" s="25">
        <v>25</v>
      </c>
      <c r="B31" s="30" t="s">
        <v>22</v>
      </c>
      <c r="C31" s="97">
        <v>6</v>
      </c>
      <c r="D31" s="24">
        <v>1575</v>
      </c>
      <c r="E31" s="151"/>
      <c r="F31" s="150">
        <v>1575</v>
      </c>
      <c r="G31" s="151"/>
      <c r="H31" s="151">
        <v>1575</v>
      </c>
      <c r="I31" s="24"/>
      <c r="J31" s="152">
        <v>1</v>
      </c>
      <c r="K31" s="153">
        <v>5.88</v>
      </c>
      <c r="L31" s="153">
        <v>1.04</v>
      </c>
      <c r="M31" s="52">
        <f t="shared" si="0"/>
        <v>19.3</v>
      </c>
      <c r="N31" s="153"/>
      <c r="O31" s="153"/>
    </row>
    <row r="32" spans="1:15" s="5" customFormat="1" ht="15.75">
      <c r="A32" s="26">
        <v>26</v>
      </c>
      <c r="B32" s="30" t="s">
        <v>23</v>
      </c>
      <c r="C32" s="97">
        <v>5</v>
      </c>
      <c r="D32" s="158">
        <v>1656</v>
      </c>
      <c r="E32" s="151">
        <v>864</v>
      </c>
      <c r="F32" s="150">
        <v>1224</v>
      </c>
      <c r="G32" s="151"/>
      <c r="H32" s="151">
        <v>540</v>
      </c>
      <c r="I32" s="24">
        <v>1944</v>
      </c>
      <c r="J32" s="152">
        <v>1</v>
      </c>
      <c r="K32" s="153">
        <v>5.41</v>
      </c>
      <c r="L32" s="153">
        <v>1.045</v>
      </c>
      <c r="M32" s="52">
        <f t="shared" si="0"/>
        <v>23.5</v>
      </c>
      <c r="N32" s="153"/>
      <c r="O32" s="153"/>
    </row>
    <row r="33" spans="1:15" s="5" customFormat="1" ht="19.5" customHeight="1">
      <c r="A33" s="25">
        <v>27</v>
      </c>
      <c r="B33" s="30" t="s">
        <v>24</v>
      </c>
      <c r="C33" s="97">
        <v>6</v>
      </c>
      <c r="D33" s="24">
        <v>525</v>
      </c>
      <c r="E33" s="151">
        <v>525</v>
      </c>
      <c r="F33" s="150">
        <v>1050</v>
      </c>
      <c r="G33" s="151"/>
      <c r="H33" s="151">
        <v>1575</v>
      </c>
      <c r="I33" s="24">
        <v>1050</v>
      </c>
      <c r="J33" s="152">
        <v>1</v>
      </c>
      <c r="K33" s="153">
        <v>6.25</v>
      </c>
      <c r="L33" s="153">
        <v>1.045</v>
      </c>
      <c r="M33" s="52">
        <f t="shared" si="0"/>
        <v>20.6</v>
      </c>
      <c r="N33" s="153"/>
      <c r="O33" s="153"/>
    </row>
    <row r="34" spans="1:15" s="5" customFormat="1" ht="18" customHeight="1">
      <c r="A34" s="26">
        <v>28</v>
      </c>
      <c r="B34" s="30" t="s">
        <v>25</v>
      </c>
      <c r="C34" s="97">
        <v>17</v>
      </c>
      <c r="D34" s="24">
        <v>1050</v>
      </c>
      <c r="E34" s="151"/>
      <c r="F34" s="150">
        <v>525</v>
      </c>
      <c r="G34" s="151"/>
      <c r="H34" s="151"/>
      <c r="I34" s="24"/>
      <c r="J34" s="152">
        <v>1</v>
      </c>
      <c r="K34" s="153">
        <v>17.1</v>
      </c>
      <c r="L34" s="153">
        <v>1.048</v>
      </c>
      <c r="M34" s="52">
        <f t="shared" si="0"/>
        <v>18.8</v>
      </c>
      <c r="N34" s="153"/>
      <c r="O34" s="153"/>
    </row>
    <row r="35" spans="1:15" s="37" customFormat="1" ht="18.75" customHeight="1">
      <c r="A35" s="25">
        <v>29</v>
      </c>
      <c r="B35" s="32" t="s">
        <v>26</v>
      </c>
      <c r="C35" s="98">
        <v>3</v>
      </c>
      <c r="D35" s="35">
        <v>525</v>
      </c>
      <c r="E35" s="157">
        <v>700</v>
      </c>
      <c r="F35" s="36">
        <v>9450</v>
      </c>
      <c r="G35" s="157"/>
      <c r="H35" s="157">
        <v>5600</v>
      </c>
      <c r="I35" s="35">
        <v>2100</v>
      </c>
      <c r="J35" s="152">
        <v>1</v>
      </c>
      <c r="K35" s="153">
        <v>3.15</v>
      </c>
      <c r="L35" s="153">
        <v>1.021</v>
      </c>
      <c r="M35" s="52">
        <f t="shared" si="0"/>
        <v>39.4</v>
      </c>
      <c r="N35" s="153"/>
      <c r="O35" s="153"/>
    </row>
    <row r="36" spans="1:15" s="5" customFormat="1" ht="24" customHeight="1">
      <c r="A36" s="26">
        <v>30</v>
      </c>
      <c r="B36" s="30" t="s">
        <v>27</v>
      </c>
      <c r="C36" s="97">
        <v>5</v>
      </c>
      <c r="D36" s="24">
        <v>525</v>
      </c>
      <c r="E36" s="24"/>
      <c r="F36" s="150">
        <v>2100</v>
      </c>
      <c r="G36" s="157"/>
      <c r="H36" s="151">
        <v>2170</v>
      </c>
      <c r="I36" s="24"/>
      <c r="J36" s="152">
        <v>1</v>
      </c>
      <c r="K36" s="153">
        <v>4.53</v>
      </c>
      <c r="L36" s="153">
        <v>1.036</v>
      </c>
      <c r="M36" s="52">
        <f t="shared" si="0"/>
        <v>15</v>
      </c>
      <c r="N36" s="153"/>
      <c r="O36" s="153"/>
    </row>
    <row r="37" spans="1:15" s="5" customFormat="1" ht="15.75">
      <c r="A37" s="25">
        <v>31</v>
      </c>
      <c r="B37" s="30" t="s">
        <v>28</v>
      </c>
      <c r="C37" s="97">
        <v>7</v>
      </c>
      <c r="D37" s="24">
        <v>1050</v>
      </c>
      <c r="E37" s="151">
        <v>525</v>
      </c>
      <c r="F37" s="150">
        <v>525</v>
      </c>
      <c r="G37" s="151"/>
      <c r="H37" s="151">
        <v>525</v>
      </c>
      <c r="I37" s="24">
        <v>2100</v>
      </c>
      <c r="J37" s="152">
        <v>1</v>
      </c>
      <c r="K37" s="153">
        <v>7.39</v>
      </c>
      <c r="L37" s="153">
        <v>1.036</v>
      </c>
      <c r="M37" s="52">
        <f t="shared" si="0"/>
        <v>24.1</v>
      </c>
      <c r="N37" s="153"/>
      <c r="O37" s="153"/>
    </row>
    <row r="38" spans="1:15" s="5" customFormat="1" ht="15.75">
      <c r="A38" s="26">
        <v>32</v>
      </c>
      <c r="B38" s="30" t="s">
        <v>29</v>
      </c>
      <c r="C38" s="97">
        <v>7</v>
      </c>
      <c r="D38" s="24">
        <v>525</v>
      </c>
      <c r="E38" s="24"/>
      <c r="F38" s="24">
        <v>1050</v>
      </c>
      <c r="G38" s="24"/>
      <c r="H38" s="24">
        <v>2625</v>
      </c>
      <c r="I38" s="24">
        <v>525</v>
      </c>
      <c r="J38" s="152">
        <v>1</v>
      </c>
      <c r="K38" s="153">
        <v>6.81</v>
      </c>
      <c r="L38" s="153">
        <v>1.044</v>
      </c>
      <c r="M38" s="52">
        <f t="shared" si="0"/>
        <v>22.4</v>
      </c>
      <c r="N38" s="153"/>
      <c r="O38" s="153"/>
    </row>
    <row r="39" spans="1:15" s="5" customFormat="1" ht="15.75">
      <c r="A39" s="25">
        <v>33</v>
      </c>
      <c r="B39" s="30" t="s">
        <v>30</v>
      </c>
      <c r="C39" s="97"/>
      <c r="D39" s="159"/>
      <c r="E39" s="159"/>
      <c r="F39" s="159"/>
      <c r="G39" s="159"/>
      <c r="H39" s="159"/>
      <c r="I39" s="159"/>
      <c r="J39" s="152">
        <v>1</v>
      </c>
      <c r="K39" s="153">
        <f>ROUND(C39/J39,3)</f>
        <v>0</v>
      </c>
      <c r="L39" s="153">
        <v>1.033</v>
      </c>
      <c r="M39" s="52">
        <f t="shared" si="0"/>
        <v>0</v>
      </c>
      <c r="N39" s="153"/>
      <c r="O39" s="153"/>
    </row>
    <row r="40" spans="1:15" s="5" customFormat="1" ht="15.75">
      <c r="A40" s="26">
        <v>34</v>
      </c>
      <c r="B40" s="30" t="s">
        <v>31</v>
      </c>
      <c r="C40" s="97">
        <v>3</v>
      </c>
      <c r="D40" s="24">
        <v>4655</v>
      </c>
      <c r="E40" s="151"/>
      <c r="F40" s="150"/>
      <c r="G40" s="151"/>
      <c r="H40" s="151">
        <v>4130</v>
      </c>
      <c r="I40" s="24">
        <v>3360</v>
      </c>
      <c r="J40" s="152">
        <v>1</v>
      </c>
      <c r="K40" s="153">
        <v>3.16</v>
      </c>
      <c r="L40" s="153">
        <v>1.027</v>
      </c>
      <c r="M40" s="52">
        <f t="shared" si="0"/>
        <v>26.3</v>
      </c>
      <c r="N40" s="153"/>
      <c r="O40" s="153"/>
    </row>
    <row r="41" spans="1:15" s="34" customFormat="1" ht="22.5" customHeight="1">
      <c r="A41" s="25">
        <v>35</v>
      </c>
      <c r="B41" s="32" t="s">
        <v>32</v>
      </c>
      <c r="C41" s="98">
        <v>4</v>
      </c>
      <c r="D41" s="24">
        <v>3850</v>
      </c>
      <c r="E41" s="151">
        <v>525</v>
      </c>
      <c r="F41" s="150">
        <v>1575</v>
      </c>
      <c r="G41" s="151">
        <v>525</v>
      </c>
      <c r="H41" s="151">
        <v>4200</v>
      </c>
      <c r="I41" s="24">
        <v>980</v>
      </c>
      <c r="J41" s="152">
        <v>1</v>
      </c>
      <c r="K41" s="153">
        <v>3.715</v>
      </c>
      <c r="L41" s="153">
        <v>1.029</v>
      </c>
      <c r="M41" s="52">
        <f t="shared" si="0"/>
        <v>29.7</v>
      </c>
      <c r="N41" s="153"/>
      <c r="O41" s="153"/>
    </row>
    <row r="42" spans="1:15" s="5" customFormat="1" ht="21.75" customHeight="1">
      <c r="A42" s="26">
        <v>36</v>
      </c>
      <c r="B42" s="30" t="s">
        <v>33</v>
      </c>
      <c r="C42" s="97">
        <v>2</v>
      </c>
      <c r="D42" s="24">
        <v>510</v>
      </c>
      <c r="E42" s="151">
        <v>1020</v>
      </c>
      <c r="F42" s="150">
        <v>1020</v>
      </c>
      <c r="G42" s="151">
        <v>510</v>
      </c>
      <c r="H42" s="151">
        <v>4590</v>
      </c>
      <c r="I42" s="24">
        <v>1530</v>
      </c>
      <c r="J42" s="152">
        <v>1</v>
      </c>
      <c r="K42" s="153">
        <v>1.53</v>
      </c>
      <c r="L42" s="153">
        <v>1.089</v>
      </c>
      <c r="M42" s="52">
        <f t="shared" si="0"/>
        <v>10.2</v>
      </c>
      <c r="N42" s="153"/>
      <c r="O42" s="153"/>
    </row>
    <row r="43" spans="1:15" s="34" customFormat="1" ht="21" customHeight="1">
      <c r="A43" s="25">
        <v>37</v>
      </c>
      <c r="B43" s="32" t="s">
        <v>34</v>
      </c>
      <c r="C43" s="98">
        <v>2</v>
      </c>
      <c r="D43" s="24">
        <v>540</v>
      </c>
      <c r="E43" s="151">
        <v>370</v>
      </c>
      <c r="F43" s="150"/>
      <c r="G43" s="151">
        <v>2700</v>
      </c>
      <c r="H43" s="151">
        <v>740</v>
      </c>
      <c r="I43" s="24">
        <v>1700</v>
      </c>
      <c r="J43" s="152">
        <v>1</v>
      </c>
      <c r="K43" s="153">
        <v>1.88</v>
      </c>
      <c r="L43" s="153">
        <v>1.089</v>
      </c>
      <c r="M43" s="52">
        <f t="shared" si="0"/>
        <v>8.3</v>
      </c>
      <c r="N43" s="153"/>
      <c r="O43" s="153"/>
    </row>
    <row r="44" spans="1:15" s="34" customFormat="1" ht="15.75">
      <c r="A44" s="26">
        <v>38</v>
      </c>
      <c r="B44" s="32" t="s">
        <v>35</v>
      </c>
      <c r="C44" s="98">
        <v>5</v>
      </c>
      <c r="D44" s="38">
        <v>1575</v>
      </c>
      <c r="E44" s="160">
        <v>1575</v>
      </c>
      <c r="F44" s="161"/>
      <c r="G44" s="160"/>
      <c r="H44" s="160">
        <v>1575</v>
      </c>
      <c r="I44" s="38"/>
      <c r="J44" s="152">
        <v>1</v>
      </c>
      <c r="K44" s="153">
        <v>4.72</v>
      </c>
      <c r="L44" s="153">
        <v>1.065</v>
      </c>
      <c r="M44" s="52">
        <f t="shared" si="0"/>
        <v>15.8</v>
      </c>
      <c r="N44" s="153"/>
      <c r="O44" s="153"/>
    </row>
    <row r="45" spans="1:15" s="5" customFormat="1" ht="16.5" thickBot="1">
      <c r="A45" s="25">
        <v>39</v>
      </c>
      <c r="B45" s="39" t="s">
        <v>36</v>
      </c>
      <c r="C45" s="29">
        <v>3</v>
      </c>
      <c r="D45" s="160"/>
      <c r="E45" s="160">
        <v>525</v>
      </c>
      <c r="F45" s="160">
        <v>1400</v>
      </c>
      <c r="G45" s="160">
        <v>1050</v>
      </c>
      <c r="H45" s="160">
        <v>7420</v>
      </c>
      <c r="I45" s="160"/>
      <c r="J45" s="152">
        <v>1</v>
      </c>
      <c r="K45" s="153">
        <v>2.96</v>
      </c>
      <c r="L45" s="153">
        <v>1.053</v>
      </c>
      <c r="M45" s="52">
        <f t="shared" si="0"/>
        <v>21.6</v>
      </c>
      <c r="N45" s="153"/>
      <c r="O45" s="153"/>
    </row>
    <row r="46" spans="1:15" s="34" customFormat="1" ht="36" customHeight="1" thickBot="1">
      <c r="A46" s="46"/>
      <c r="B46" s="78" t="s">
        <v>74</v>
      </c>
      <c r="C46" s="119"/>
      <c r="D46" s="90">
        <f aca="true" t="shared" si="1" ref="D46:I46">SUM(D7:D45)</f>
        <v>89549</v>
      </c>
      <c r="E46" s="90">
        <f t="shared" si="1"/>
        <v>38188</v>
      </c>
      <c r="F46" s="90">
        <f t="shared" si="1"/>
        <v>51035</v>
      </c>
      <c r="G46" s="90">
        <f t="shared" si="1"/>
        <v>7410</v>
      </c>
      <c r="H46" s="90">
        <f t="shared" si="1"/>
        <v>105213</v>
      </c>
      <c r="I46" s="114">
        <f t="shared" si="1"/>
        <v>49134</v>
      </c>
      <c r="J46" s="99"/>
      <c r="K46" s="99"/>
      <c r="L46" s="99"/>
      <c r="M46" s="52">
        <f>SUM(M7:M45)</f>
        <v>742.6</v>
      </c>
      <c r="N46" s="52"/>
      <c r="O46" s="52"/>
    </row>
    <row r="47" spans="1:14" s="5" customFormat="1" ht="18" customHeight="1">
      <c r="A47" s="6"/>
      <c r="B47" s="7"/>
      <c r="C47" s="13"/>
      <c r="M47" s="69"/>
      <c r="N47" s="62"/>
    </row>
    <row r="48" spans="1:14" s="5" customFormat="1" ht="15.75">
      <c r="A48" s="9"/>
      <c r="B48" s="10"/>
      <c r="C48" s="10"/>
      <c r="D48" s="21"/>
      <c r="N48" s="21"/>
    </row>
    <row r="49" spans="1:14" s="5" customFormat="1" ht="15.75">
      <c r="A49" s="9"/>
      <c r="B49" s="10"/>
      <c r="C49" s="10"/>
      <c r="N49" s="62"/>
    </row>
    <row r="50" spans="1:14" s="5" customFormat="1" ht="15.75">
      <c r="A50" s="9"/>
      <c r="B50" s="10"/>
      <c r="C50" s="10"/>
      <c r="N50" s="62"/>
    </row>
    <row r="51" spans="1:14" s="5" customFormat="1" ht="15.75">
      <c r="A51" s="9"/>
      <c r="B51" s="10"/>
      <c r="C51" s="10"/>
      <c r="N51" s="62"/>
    </row>
    <row r="52" spans="1:14" s="5" customFormat="1" ht="15.75">
      <c r="A52" s="9"/>
      <c r="B52" s="12"/>
      <c r="C52" s="12"/>
      <c r="N52" s="62"/>
    </row>
    <row r="53" spans="1:14" s="5" customFormat="1" ht="15.75">
      <c r="A53" s="9"/>
      <c r="B53" s="12"/>
      <c r="C53" s="12"/>
      <c r="N53" s="62"/>
    </row>
    <row r="54" spans="1:14" s="5" customFormat="1" ht="16.5" customHeight="1">
      <c r="A54" s="9"/>
      <c r="B54" s="10"/>
      <c r="C54" s="10"/>
      <c r="N54" s="62"/>
    </row>
    <row r="55" spans="1:14" s="5" customFormat="1" ht="15.75">
      <c r="A55" s="9"/>
      <c r="B55" s="10"/>
      <c r="C55" s="10"/>
      <c r="N55" s="62"/>
    </row>
    <row r="56" spans="1:14" s="5" customFormat="1" ht="15.75">
      <c r="A56" s="9"/>
      <c r="B56" s="10"/>
      <c r="C56" s="10"/>
      <c r="N56" s="62"/>
    </row>
    <row r="57" spans="1:14" s="5" customFormat="1" ht="15.75">
      <c r="A57" s="9"/>
      <c r="B57" s="10"/>
      <c r="C57" s="10"/>
      <c r="N57" s="62"/>
    </row>
    <row r="58" spans="1:14" s="5" customFormat="1" ht="15.75">
      <c r="A58" s="9"/>
      <c r="B58" s="10"/>
      <c r="C58" s="10"/>
      <c r="N58" s="62"/>
    </row>
    <row r="59" spans="1:14" s="5" customFormat="1" ht="15.75">
      <c r="A59" s="9"/>
      <c r="B59" s="10"/>
      <c r="C59" s="10"/>
      <c r="N59" s="62"/>
    </row>
    <row r="60" spans="1:14" s="5" customFormat="1" ht="15.75">
      <c r="A60" s="9"/>
      <c r="B60" s="13"/>
      <c r="C60" s="13"/>
      <c r="N60" s="62"/>
    </row>
    <row r="61" spans="1:14" s="15" customFormat="1" ht="16.5" customHeight="1">
      <c r="A61" s="239"/>
      <c r="B61" s="239"/>
      <c r="C61" s="124"/>
      <c r="N61" s="64"/>
    </row>
    <row r="62" spans="1:3" ht="15.75">
      <c r="A62" s="9"/>
      <c r="B62" s="12"/>
      <c r="C62" s="12"/>
    </row>
    <row r="63" spans="1:3" ht="15.75">
      <c r="A63" s="9"/>
      <c r="B63" s="12"/>
      <c r="C63" s="12"/>
    </row>
    <row r="64" spans="1:3" ht="15.75">
      <c r="A64" s="9"/>
      <c r="B64" s="12"/>
      <c r="C64" s="12"/>
    </row>
    <row r="65" spans="1:3" ht="15.75">
      <c r="A65" s="9"/>
      <c r="B65" s="12"/>
      <c r="C65" s="12"/>
    </row>
    <row r="66" spans="1:3" ht="18" customHeight="1">
      <c r="A66" s="9"/>
      <c r="B66" s="12"/>
      <c r="C66" s="12"/>
    </row>
    <row r="67" spans="1:3" ht="15.75">
      <c r="A67" s="9"/>
      <c r="B67" s="12"/>
      <c r="C67" s="12"/>
    </row>
    <row r="68" spans="1:3" ht="15.75">
      <c r="A68" s="9"/>
      <c r="B68" s="12"/>
      <c r="C68" s="12"/>
    </row>
    <row r="69" spans="1:3" ht="15.75">
      <c r="A69" s="9"/>
      <c r="B69" s="12"/>
      <c r="C69" s="12"/>
    </row>
    <row r="70" spans="1:3" ht="15.75">
      <c r="A70" s="9"/>
      <c r="B70" s="12"/>
      <c r="C70" s="12"/>
    </row>
    <row r="71" spans="1:3" ht="15.75">
      <c r="A71" s="9"/>
      <c r="B71" s="12"/>
      <c r="C71" s="12"/>
    </row>
    <row r="72" spans="1:3" ht="15.75">
      <c r="A72" s="9"/>
      <c r="B72" s="10"/>
      <c r="C72" s="10"/>
    </row>
    <row r="73" spans="1:3" ht="15.75">
      <c r="A73" s="9"/>
      <c r="B73" s="10"/>
      <c r="C73" s="10"/>
    </row>
    <row r="74" spans="1:3" ht="15.75">
      <c r="A74" s="9"/>
      <c r="B74" s="10"/>
      <c r="C74" s="10"/>
    </row>
    <row r="75" spans="1:3" ht="15.75">
      <c r="A75" s="9"/>
      <c r="B75" s="10"/>
      <c r="C75" s="10"/>
    </row>
    <row r="76" spans="1:3" ht="15.75">
      <c r="A76" s="9"/>
      <c r="B76" s="10"/>
      <c r="C76" s="10"/>
    </row>
    <row r="77" spans="1:3" ht="15.75">
      <c r="A77" s="9"/>
      <c r="B77" s="10"/>
      <c r="C77" s="10"/>
    </row>
    <row r="78" spans="1:3" ht="15.75">
      <c r="A78" s="9"/>
      <c r="B78" s="10"/>
      <c r="C78" s="10"/>
    </row>
    <row r="79" spans="1:3" ht="15.75">
      <c r="A79" s="9"/>
      <c r="B79" s="10"/>
      <c r="C79" s="10"/>
    </row>
    <row r="80" spans="1:3" ht="15.75">
      <c r="A80" s="9"/>
      <c r="B80" s="10"/>
      <c r="C80" s="10"/>
    </row>
    <row r="81" spans="1:3" ht="15.75">
      <c r="A81" s="9"/>
      <c r="B81" s="10"/>
      <c r="C81" s="10"/>
    </row>
    <row r="82" spans="1:3" ht="15.75">
      <c r="A82" s="9"/>
      <c r="B82" s="10"/>
      <c r="C82" s="10"/>
    </row>
    <row r="83" spans="1:3" ht="15.75">
      <c r="A83" s="9"/>
      <c r="B83" s="10"/>
      <c r="C83" s="10"/>
    </row>
    <row r="84" spans="1:3" ht="15.75">
      <c r="A84" s="9"/>
      <c r="B84" s="10"/>
      <c r="C84" s="10"/>
    </row>
    <row r="85" spans="1:3" ht="15.75">
      <c r="A85" s="9"/>
      <c r="B85" s="10"/>
      <c r="C85" s="10"/>
    </row>
    <row r="86" spans="1:3" ht="15.75">
      <c r="A86" s="9"/>
      <c r="B86" s="10"/>
      <c r="C86" s="10"/>
    </row>
    <row r="87" spans="1:3" ht="15.75">
      <c r="A87" s="9"/>
      <c r="B87" s="10"/>
      <c r="C87" s="10"/>
    </row>
    <row r="88" spans="1:3" ht="15.75">
      <c r="A88" s="9"/>
      <c r="B88" s="10"/>
      <c r="C88" s="10"/>
    </row>
    <row r="89" spans="1:3" ht="15.75">
      <c r="A89" s="9"/>
      <c r="B89" s="10"/>
      <c r="C89" s="10"/>
    </row>
    <row r="90" spans="1:3" ht="15.75">
      <c r="A90" s="9"/>
      <c r="B90" s="10"/>
      <c r="C90" s="10"/>
    </row>
    <row r="91" spans="1:3" ht="15.75">
      <c r="A91" s="9"/>
      <c r="B91" s="10"/>
      <c r="C91" s="10"/>
    </row>
    <row r="92" spans="1:3" ht="15.75">
      <c r="A92" s="9"/>
      <c r="B92" s="10"/>
      <c r="C92" s="10"/>
    </row>
    <row r="93" spans="1:3" ht="15.75">
      <c r="A93" s="9"/>
      <c r="B93" s="10"/>
      <c r="C93" s="10"/>
    </row>
    <row r="94" spans="1:3" ht="15.75">
      <c r="A94" s="9"/>
      <c r="B94" s="10"/>
      <c r="C94" s="10"/>
    </row>
    <row r="95" spans="1:3" ht="15.75">
      <c r="A95" s="9"/>
      <c r="B95" s="10"/>
      <c r="C95" s="10"/>
    </row>
    <row r="96" spans="1:3" ht="15.75">
      <c r="A96" s="9"/>
      <c r="B96" s="10"/>
      <c r="C96" s="10"/>
    </row>
    <row r="97" spans="1:3" ht="15.75">
      <c r="A97" s="9"/>
      <c r="B97" s="10"/>
      <c r="C97" s="10"/>
    </row>
    <row r="98" spans="1:3" ht="15.75">
      <c r="A98" s="9"/>
      <c r="B98" s="10"/>
      <c r="C98" s="10"/>
    </row>
    <row r="99" spans="1:3" ht="15.75">
      <c r="A99" s="9"/>
      <c r="B99" s="10"/>
      <c r="C99" s="10"/>
    </row>
    <row r="100" spans="1:3" ht="15.75">
      <c r="A100" s="9"/>
      <c r="B100" s="10"/>
      <c r="C100" s="10"/>
    </row>
    <row r="101" spans="1:3" ht="15.75">
      <c r="A101" s="9"/>
      <c r="B101" s="10"/>
      <c r="C101" s="10"/>
    </row>
    <row r="102" spans="1:3" ht="15.75">
      <c r="A102" s="9"/>
      <c r="B102" s="10"/>
      <c r="C102" s="10"/>
    </row>
    <row r="103" spans="1:3" ht="15.75">
      <c r="A103" s="9"/>
      <c r="B103" s="10"/>
      <c r="C103" s="10"/>
    </row>
    <row r="104" spans="1:3" ht="15.75">
      <c r="A104" s="9"/>
      <c r="B104" s="10"/>
      <c r="C104" s="10"/>
    </row>
    <row r="105" spans="1:3" ht="15.75">
      <c r="A105" s="9"/>
      <c r="B105" s="10"/>
      <c r="C105" s="10"/>
    </row>
    <row r="106" spans="1:3" ht="15.75">
      <c r="A106" s="17"/>
      <c r="B106" s="18"/>
      <c r="C106" s="18"/>
    </row>
    <row r="107" spans="1:3" ht="18.75">
      <c r="A107" s="19"/>
      <c r="B107" s="19"/>
      <c r="C107" s="19"/>
    </row>
    <row r="108" spans="1:3" ht="12.75">
      <c r="A108" s="17"/>
      <c r="B108" s="17"/>
      <c r="C108" s="17"/>
    </row>
  </sheetData>
  <sheetProtection/>
  <mergeCells count="14">
    <mergeCell ref="A61:B61"/>
    <mergeCell ref="C2:C6"/>
    <mergeCell ref="O3:O6"/>
    <mergeCell ref="A1:F1"/>
    <mergeCell ref="A2:A6"/>
    <mergeCell ref="B2:B4"/>
    <mergeCell ref="B5:B6"/>
    <mergeCell ref="D2:I3"/>
    <mergeCell ref="N3:N6"/>
    <mergeCell ref="L2:L6"/>
    <mergeCell ref="J2:J6"/>
    <mergeCell ref="K2:K6"/>
    <mergeCell ref="M2:M6"/>
    <mergeCell ref="D4:I4"/>
  </mergeCells>
  <printOptions horizontalCentered="1"/>
  <pageMargins left="0" right="0" top="0.5905511811023623" bottom="0" header="0" footer="0"/>
  <pageSetup horizontalDpi="600" verticalDpi="600" orientation="landscape" paperSize="9" scale="50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08"/>
  <sheetViews>
    <sheetView view="pageBreakPreview" zoomScale="71" zoomScaleNormal="74" zoomScaleSheetLayoutView="7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1" sqref="I1:J16384"/>
    </sheetView>
  </sheetViews>
  <sheetFormatPr defaultColWidth="9.140625" defaultRowHeight="12.75"/>
  <cols>
    <col min="1" max="1" width="9.00390625" style="3" customWidth="1"/>
    <col min="2" max="2" width="36.140625" style="3" customWidth="1"/>
    <col min="3" max="3" width="27.28125" style="3" customWidth="1"/>
    <col min="4" max="4" width="23.28125" style="16" customWidth="1"/>
    <col min="5" max="7" width="21.421875" style="16" customWidth="1"/>
    <col min="8" max="8" width="26.421875" style="16" customWidth="1"/>
    <col min="9" max="16384" width="9.140625" style="16" customWidth="1"/>
  </cols>
  <sheetData>
    <row r="1" spans="1:8" s="5" customFormat="1" ht="18.75">
      <c r="A1" s="257"/>
      <c r="B1" s="257"/>
      <c r="C1" s="121"/>
      <c r="H1" s="5" t="s">
        <v>83</v>
      </c>
    </row>
    <row r="2" spans="1:8" s="81" customFormat="1" ht="15.75" customHeight="1">
      <c r="A2" s="266" t="s">
        <v>75</v>
      </c>
      <c r="B2" s="237" t="s">
        <v>71</v>
      </c>
      <c r="C2" s="254" t="s">
        <v>79</v>
      </c>
      <c r="D2" s="236" t="s">
        <v>76</v>
      </c>
      <c r="E2" s="261" t="s">
        <v>77</v>
      </c>
      <c r="F2" s="261" t="s">
        <v>78</v>
      </c>
      <c r="G2" s="243" t="s">
        <v>91</v>
      </c>
      <c r="H2" s="261" t="s">
        <v>86</v>
      </c>
    </row>
    <row r="3" spans="1:8" s="81" customFormat="1" ht="51.75" customHeight="1">
      <c r="A3" s="266"/>
      <c r="B3" s="238"/>
      <c r="C3" s="255"/>
      <c r="D3" s="236"/>
      <c r="E3" s="262"/>
      <c r="F3" s="262"/>
      <c r="G3" s="243"/>
      <c r="H3" s="262"/>
    </row>
    <row r="4" spans="1:8" s="81" customFormat="1" ht="102.75" customHeight="1">
      <c r="A4" s="266"/>
      <c r="B4" s="238"/>
      <c r="C4" s="255"/>
      <c r="D4" s="128" t="s">
        <v>52</v>
      </c>
      <c r="E4" s="262"/>
      <c r="F4" s="262"/>
      <c r="G4" s="243"/>
      <c r="H4" s="262"/>
    </row>
    <row r="5" spans="1:8" s="81" customFormat="1" ht="65.25" customHeight="1">
      <c r="A5" s="266"/>
      <c r="B5" s="236" t="s">
        <v>70</v>
      </c>
      <c r="C5" s="255"/>
      <c r="D5" s="267" t="s">
        <v>46</v>
      </c>
      <c r="E5" s="262"/>
      <c r="F5" s="262"/>
      <c r="G5" s="243"/>
      <c r="H5" s="262"/>
    </row>
    <row r="6" spans="1:8" s="81" customFormat="1" ht="21" customHeight="1">
      <c r="A6" s="266"/>
      <c r="B6" s="236"/>
      <c r="C6" s="125"/>
      <c r="D6" s="268"/>
      <c r="E6" s="107"/>
      <c r="F6" s="107"/>
      <c r="G6" s="243"/>
      <c r="H6" s="263"/>
    </row>
    <row r="7" spans="1:9" s="5" customFormat="1" ht="15.75">
      <c r="A7" s="25">
        <v>1</v>
      </c>
      <c r="B7" s="23" t="s">
        <v>0</v>
      </c>
      <c r="C7" s="101">
        <v>695</v>
      </c>
      <c r="D7" s="151">
        <v>38</v>
      </c>
      <c r="E7" s="152">
        <v>292</v>
      </c>
      <c r="F7" s="153">
        <f>ROUND(C7/E7,3)</f>
        <v>2.38</v>
      </c>
      <c r="G7" s="217">
        <v>1.03</v>
      </c>
      <c r="H7" s="52">
        <f>ROUNDDOWN(D7*E7*F7*G7/1000*8/12,1)</f>
        <v>18.1</v>
      </c>
      <c r="I7" s="227"/>
    </row>
    <row r="8" spans="1:9" s="5" customFormat="1" ht="15.75">
      <c r="A8" s="25">
        <v>2</v>
      </c>
      <c r="B8" s="23" t="s">
        <v>60</v>
      </c>
      <c r="C8" s="101">
        <v>490</v>
      </c>
      <c r="D8" s="151">
        <v>97</v>
      </c>
      <c r="E8" s="152">
        <v>292</v>
      </c>
      <c r="F8" s="153">
        <f aca="true" t="shared" si="0" ref="F8:F45">ROUND(C8/E8,3)</f>
        <v>1.678</v>
      </c>
      <c r="G8" s="153">
        <v>1.04</v>
      </c>
      <c r="H8" s="52">
        <f aca="true" t="shared" si="1" ref="H8:H45">ROUNDDOWN(D8*E8*F8*G8/1000*8/12,1)</f>
        <v>32.9</v>
      </c>
      <c r="I8" s="227"/>
    </row>
    <row r="9" spans="1:9" s="5" customFormat="1" ht="15.75">
      <c r="A9" s="25">
        <v>3</v>
      </c>
      <c r="B9" s="23" t="s">
        <v>1</v>
      </c>
      <c r="C9" s="101">
        <v>603</v>
      </c>
      <c r="D9" s="151">
        <v>38</v>
      </c>
      <c r="E9" s="152">
        <v>292</v>
      </c>
      <c r="F9" s="153">
        <f t="shared" si="0"/>
        <v>2.065</v>
      </c>
      <c r="G9" s="153">
        <v>1.035</v>
      </c>
      <c r="H9" s="52">
        <f t="shared" si="1"/>
        <v>15.8</v>
      </c>
      <c r="I9" s="227"/>
    </row>
    <row r="10" spans="1:9" s="5" customFormat="1" ht="15.75">
      <c r="A10" s="25">
        <v>4</v>
      </c>
      <c r="B10" s="23" t="s">
        <v>2</v>
      </c>
      <c r="C10" s="101">
        <v>782</v>
      </c>
      <c r="D10" s="151">
        <v>45</v>
      </c>
      <c r="E10" s="152">
        <v>292</v>
      </c>
      <c r="F10" s="153">
        <f t="shared" si="0"/>
        <v>2.678</v>
      </c>
      <c r="G10" s="153">
        <v>1.051</v>
      </c>
      <c r="H10" s="52">
        <f t="shared" si="1"/>
        <v>24.6</v>
      </c>
      <c r="I10" s="227"/>
    </row>
    <row r="11" spans="1:9" s="5" customFormat="1" ht="15.75">
      <c r="A11" s="25">
        <v>5</v>
      </c>
      <c r="B11" s="23" t="s">
        <v>59</v>
      </c>
      <c r="C11" s="101">
        <v>459</v>
      </c>
      <c r="D11" s="151">
        <v>44</v>
      </c>
      <c r="E11" s="152">
        <v>292</v>
      </c>
      <c r="F11" s="153">
        <f t="shared" si="0"/>
        <v>1.572</v>
      </c>
      <c r="G11" s="153">
        <v>1.07</v>
      </c>
      <c r="H11" s="52">
        <f t="shared" si="1"/>
        <v>14.4</v>
      </c>
      <c r="I11" s="227"/>
    </row>
    <row r="12" spans="1:9" s="5" customFormat="1" ht="15.75">
      <c r="A12" s="25">
        <v>6</v>
      </c>
      <c r="B12" s="23" t="s">
        <v>3</v>
      </c>
      <c r="C12" s="101">
        <v>1357</v>
      </c>
      <c r="D12" s="151">
        <v>21</v>
      </c>
      <c r="E12" s="152">
        <v>292</v>
      </c>
      <c r="F12" s="153">
        <f t="shared" si="0"/>
        <v>4.647</v>
      </c>
      <c r="G12" s="153">
        <v>1.034</v>
      </c>
      <c r="H12" s="52">
        <f t="shared" si="1"/>
        <v>19.6</v>
      </c>
      <c r="I12" s="227"/>
    </row>
    <row r="13" spans="1:9" s="5" customFormat="1" ht="15.75" customHeight="1">
      <c r="A13" s="25">
        <v>7</v>
      </c>
      <c r="B13" s="23" t="s">
        <v>4</v>
      </c>
      <c r="C13" s="101">
        <v>847</v>
      </c>
      <c r="D13" s="151">
        <v>38</v>
      </c>
      <c r="E13" s="152">
        <v>292</v>
      </c>
      <c r="F13" s="153">
        <f t="shared" si="0"/>
        <v>2.901</v>
      </c>
      <c r="G13" s="153">
        <v>1.032</v>
      </c>
      <c r="H13" s="52">
        <f t="shared" si="1"/>
        <v>22.1</v>
      </c>
      <c r="I13" s="227"/>
    </row>
    <row r="14" spans="1:10" s="28" customFormat="1" ht="15.75">
      <c r="A14" s="26">
        <v>8</v>
      </c>
      <c r="B14" s="27" t="s">
        <v>5</v>
      </c>
      <c r="C14" s="102"/>
      <c r="D14" s="162"/>
      <c r="E14" s="152">
        <v>292</v>
      </c>
      <c r="F14" s="153">
        <f t="shared" si="0"/>
        <v>0</v>
      </c>
      <c r="G14" s="153">
        <v>1.02</v>
      </c>
      <c r="H14" s="52">
        <f t="shared" si="1"/>
        <v>0</v>
      </c>
      <c r="I14" s="227"/>
      <c r="J14" s="5"/>
    </row>
    <row r="15" spans="1:9" s="5" customFormat="1" ht="15.75">
      <c r="A15" s="25">
        <v>9</v>
      </c>
      <c r="B15" s="23" t="s">
        <v>6</v>
      </c>
      <c r="C15" s="101"/>
      <c r="D15" s="151"/>
      <c r="E15" s="152">
        <v>292</v>
      </c>
      <c r="F15" s="153">
        <f t="shared" si="0"/>
        <v>0</v>
      </c>
      <c r="G15" s="153">
        <v>1.064</v>
      </c>
      <c r="H15" s="52">
        <f t="shared" si="1"/>
        <v>0</v>
      </c>
      <c r="I15" s="227"/>
    </row>
    <row r="16" spans="1:9" s="5" customFormat="1" ht="15.75">
      <c r="A16" s="26">
        <v>10</v>
      </c>
      <c r="B16" s="30" t="s">
        <v>7</v>
      </c>
      <c r="C16" s="103">
        <v>292</v>
      </c>
      <c r="D16" s="151">
        <v>104</v>
      </c>
      <c r="E16" s="152">
        <v>292</v>
      </c>
      <c r="F16" s="153">
        <f t="shared" si="0"/>
        <v>1</v>
      </c>
      <c r="G16" s="153">
        <v>1.045</v>
      </c>
      <c r="H16" s="52">
        <f t="shared" si="1"/>
        <v>21.1</v>
      </c>
      <c r="I16" s="227"/>
    </row>
    <row r="17" spans="1:9" s="5" customFormat="1" ht="15.75">
      <c r="A17" s="25">
        <v>11</v>
      </c>
      <c r="B17" s="30" t="s">
        <v>8</v>
      </c>
      <c r="C17" s="103">
        <v>693</v>
      </c>
      <c r="D17" s="151">
        <v>42</v>
      </c>
      <c r="E17" s="152">
        <v>292</v>
      </c>
      <c r="F17" s="153">
        <f t="shared" si="0"/>
        <v>2.373</v>
      </c>
      <c r="G17" s="153">
        <v>1.057</v>
      </c>
      <c r="H17" s="52">
        <f t="shared" si="1"/>
        <v>20.5</v>
      </c>
      <c r="I17" s="227"/>
    </row>
    <row r="18" spans="1:9" s="5" customFormat="1" ht="15.75">
      <c r="A18" s="26">
        <v>12</v>
      </c>
      <c r="B18" s="30" t="s">
        <v>9</v>
      </c>
      <c r="C18" s="103">
        <v>4750</v>
      </c>
      <c r="D18" s="151">
        <v>8</v>
      </c>
      <c r="E18" s="152">
        <v>292</v>
      </c>
      <c r="F18" s="153">
        <f t="shared" si="0"/>
        <v>16.267</v>
      </c>
      <c r="G18" s="153">
        <v>1.054</v>
      </c>
      <c r="H18" s="52">
        <f t="shared" si="1"/>
        <v>26.7</v>
      </c>
      <c r="I18" s="227"/>
    </row>
    <row r="19" spans="1:9" s="5" customFormat="1" ht="15.75">
      <c r="A19" s="25">
        <v>13</v>
      </c>
      <c r="B19" s="30" t="s">
        <v>10</v>
      </c>
      <c r="C19" s="103">
        <v>3133</v>
      </c>
      <c r="D19" s="151">
        <v>15</v>
      </c>
      <c r="E19" s="152">
        <v>292</v>
      </c>
      <c r="F19" s="153">
        <f t="shared" si="0"/>
        <v>10.729</v>
      </c>
      <c r="G19" s="153">
        <v>1.033</v>
      </c>
      <c r="H19" s="52">
        <f t="shared" si="1"/>
        <v>32.3</v>
      </c>
      <c r="I19" s="227"/>
    </row>
    <row r="20" spans="1:9" s="5" customFormat="1" ht="19.5" customHeight="1">
      <c r="A20" s="26">
        <v>14</v>
      </c>
      <c r="B20" s="30" t="s">
        <v>11</v>
      </c>
      <c r="C20" s="103">
        <v>5175</v>
      </c>
      <c r="D20" s="151">
        <v>4</v>
      </c>
      <c r="E20" s="152">
        <v>292</v>
      </c>
      <c r="F20" s="153">
        <f t="shared" si="0"/>
        <v>17.723</v>
      </c>
      <c r="G20" s="153">
        <v>1.07</v>
      </c>
      <c r="H20" s="52">
        <f t="shared" si="1"/>
        <v>14.7</v>
      </c>
      <c r="I20" s="227"/>
    </row>
    <row r="21" spans="1:9" s="5" customFormat="1" ht="15.75">
      <c r="A21" s="25">
        <v>15</v>
      </c>
      <c r="B21" s="30" t="s">
        <v>12</v>
      </c>
      <c r="C21" s="103">
        <v>20950</v>
      </c>
      <c r="D21" s="151">
        <v>2</v>
      </c>
      <c r="E21" s="152">
        <v>292</v>
      </c>
      <c r="F21" s="153">
        <f t="shared" si="0"/>
        <v>71.747</v>
      </c>
      <c r="G21" s="153">
        <v>1.033</v>
      </c>
      <c r="H21" s="52">
        <f t="shared" si="1"/>
        <v>28.8</v>
      </c>
      <c r="I21" s="227"/>
    </row>
    <row r="22" spans="1:10" s="34" customFormat="1" ht="15.75" customHeight="1">
      <c r="A22" s="26">
        <v>16</v>
      </c>
      <c r="B22" s="32" t="s">
        <v>13</v>
      </c>
      <c r="C22" s="104">
        <v>3046</v>
      </c>
      <c r="D22" s="151">
        <v>13</v>
      </c>
      <c r="E22" s="152">
        <v>292</v>
      </c>
      <c r="F22" s="153">
        <f t="shared" si="0"/>
        <v>10.432</v>
      </c>
      <c r="G22" s="153">
        <v>1.033</v>
      </c>
      <c r="H22" s="52">
        <f t="shared" si="1"/>
        <v>27.2</v>
      </c>
      <c r="I22" s="227"/>
      <c r="J22" s="5"/>
    </row>
    <row r="23" spans="1:10" s="37" customFormat="1" ht="19.5" customHeight="1">
      <c r="A23" s="25">
        <v>17</v>
      </c>
      <c r="B23" s="32" t="s">
        <v>14</v>
      </c>
      <c r="C23" s="104"/>
      <c r="D23" s="157"/>
      <c r="E23" s="152">
        <v>292</v>
      </c>
      <c r="F23" s="153">
        <f t="shared" si="0"/>
        <v>0</v>
      </c>
      <c r="G23" s="153">
        <v>1.046</v>
      </c>
      <c r="H23" s="52">
        <f t="shared" si="1"/>
        <v>0</v>
      </c>
      <c r="I23" s="227"/>
      <c r="J23" s="5"/>
    </row>
    <row r="24" spans="1:9" s="5" customFormat="1" ht="15.75">
      <c r="A24" s="26">
        <v>18</v>
      </c>
      <c r="B24" s="30" t="s">
        <v>15</v>
      </c>
      <c r="C24" s="103"/>
      <c r="D24" s="151"/>
      <c r="E24" s="152">
        <v>292</v>
      </c>
      <c r="F24" s="153">
        <f t="shared" si="0"/>
        <v>0</v>
      </c>
      <c r="G24" s="153">
        <v>1.09</v>
      </c>
      <c r="H24" s="52">
        <f t="shared" si="1"/>
        <v>0</v>
      </c>
      <c r="I24" s="227"/>
    </row>
    <row r="25" spans="1:10" s="34" customFormat="1" ht="21" customHeight="1">
      <c r="A25" s="25">
        <v>19</v>
      </c>
      <c r="B25" s="32" t="s">
        <v>16</v>
      </c>
      <c r="C25" s="104"/>
      <c r="D25" s="151"/>
      <c r="E25" s="152">
        <v>292</v>
      </c>
      <c r="F25" s="153">
        <f t="shared" si="0"/>
        <v>0</v>
      </c>
      <c r="G25" s="153">
        <v>1.036</v>
      </c>
      <c r="H25" s="52">
        <f t="shared" si="1"/>
        <v>0</v>
      </c>
      <c r="I25" s="227"/>
      <c r="J25" s="5"/>
    </row>
    <row r="26" spans="1:9" s="5" customFormat="1" ht="15.75">
      <c r="A26" s="26">
        <v>20</v>
      </c>
      <c r="B26" s="30" t="s">
        <v>17</v>
      </c>
      <c r="C26" s="103">
        <v>457</v>
      </c>
      <c r="D26" s="151">
        <v>65</v>
      </c>
      <c r="E26" s="152">
        <v>292</v>
      </c>
      <c r="F26" s="153">
        <f t="shared" si="0"/>
        <v>1.565</v>
      </c>
      <c r="G26" s="153">
        <v>1.045</v>
      </c>
      <c r="H26" s="52">
        <f t="shared" si="1"/>
        <v>20.6</v>
      </c>
      <c r="I26" s="227"/>
    </row>
    <row r="27" spans="1:9" s="5" customFormat="1" ht="15.75">
      <c r="A27" s="25">
        <v>21</v>
      </c>
      <c r="B27" s="30" t="s">
        <v>18</v>
      </c>
      <c r="C27" s="103">
        <v>383</v>
      </c>
      <c r="D27" s="151">
        <v>63</v>
      </c>
      <c r="E27" s="152">
        <v>292</v>
      </c>
      <c r="F27" s="153">
        <f t="shared" si="0"/>
        <v>1.312</v>
      </c>
      <c r="G27" s="153">
        <v>1.039</v>
      </c>
      <c r="H27" s="52">
        <f t="shared" si="1"/>
        <v>16.7</v>
      </c>
      <c r="I27" s="227"/>
    </row>
    <row r="28" spans="1:10" s="37" customFormat="1" ht="15" customHeight="1">
      <c r="A28" s="26">
        <v>22</v>
      </c>
      <c r="B28" s="32" t="s">
        <v>19</v>
      </c>
      <c r="C28" s="104">
        <v>5129</v>
      </c>
      <c r="D28" s="157">
        <v>7</v>
      </c>
      <c r="E28" s="152">
        <v>292</v>
      </c>
      <c r="F28" s="153">
        <f t="shared" si="0"/>
        <v>17.565</v>
      </c>
      <c r="G28" s="153">
        <v>1.046</v>
      </c>
      <c r="H28" s="52">
        <f t="shared" si="1"/>
        <v>25</v>
      </c>
      <c r="I28" s="227"/>
      <c r="J28" s="5"/>
    </row>
    <row r="29" spans="1:10" s="34" customFormat="1" ht="18.75" customHeight="1">
      <c r="A29" s="25">
        <v>23</v>
      </c>
      <c r="B29" s="32" t="s">
        <v>20</v>
      </c>
      <c r="C29" s="104"/>
      <c r="D29" s="151"/>
      <c r="E29" s="152">
        <v>292</v>
      </c>
      <c r="F29" s="153">
        <f t="shared" si="0"/>
        <v>0</v>
      </c>
      <c r="G29" s="153">
        <v>1.033</v>
      </c>
      <c r="H29" s="52">
        <f t="shared" si="1"/>
        <v>0</v>
      </c>
      <c r="I29" s="227"/>
      <c r="J29" s="5"/>
    </row>
    <row r="30" spans="1:9" s="5" customFormat="1" ht="15.75">
      <c r="A30" s="26">
        <v>24</v>
      </c>
      <c r="B30" s="30" t="s">
        <v>21</v>
      </c>
      <c r="C30" s="103"/>
      <c r="D30" s="151"/>
      <c r="E30" s="152">
        <v>292</v>
      </c>
      <c r="F30" s="153">
        <f t="shared" si="0"/>
        <v>0</v>
      </c>
      <c r="G30" s="153">
        <v>1.057</v>
      </c>
      <c r="H30" s="52">
        <f t="shared" si="1"/>
        <v>0</v>
      </c>
      <c r="I30" s="227"/>
    </row>
    <row r="31" spans="1:9" s="5" customFormat="1" ht="15.75">
      <c r="A31" s="25">
        <v>25</v>
      </c>
      <c r="B31" s="30" t="s">
        <v>22</v>
      </c>
      <c r="C31" s="103"/>
      <c r="D31" s="151"/>
      <c r="E31" s="152">
        <v>292</v>
      </c>
      <c r="F31" s="153">
        <f t="shared" si="0"/>
        <v>0</v>
      </c>
      <c r="G31" s="153">
        <v>1.04</v>
      </c>
      <c r="H31" s="52">
        <f t="shared" si="1"/>
        <v>0</v>
      </c>
      <c r="I31" s="227"/>
    </row>
    <row r="32" spans="1:9" s="5" customFormat="1" ht="15.75">
      <c r="A32" s="26">
        <v>26</v>
      </c>
      <c r="B32" s="30" t="s">
        <v>23</v>
      </c>
      <c r="C32" s="103">
        <v>2247</v>
      </c>
      <c r="D32" s="151">
        <v>15</v>
      </c>
      <c r="E32" s="152">
        <v>292</v>
      </c>
      <c r="F32" s="153">
        <f t="shared" si="0"/>
        <v>7.695</v>
      </c>
      <c r="G32" s="153">
        <v>1.045</v>
      </c>
      <c r="H32" s="52">
        <f t="shared" si="1"/>
        <v>23.4</v>
      </c>
      <c r="I32" s="227"/>
    </row>
    <row r="33" spans="1:9" s="5" customFormat="1" ht="19.5" customHeight="1">
      <c r="A33" s="25">
        <v>27</v>
      </c>
      <c r="B33" s="30" t="s">
        <v>24</v>
      </c>
      <c r="C33" s="103">
        <v>1180</v>
      </c>
      <c r="D33" s="151">
        <v>25</v>
      </c>
      <c r="E33" s="152">
        <v>292</v>
      </c>
      <c r="F33" s="153">
        <f t="shared" si="0"/>
        <v>4.041</v>
      </c>
      <c r="G33" s="153">
        <v>1.045</v>
      </c>
      <c r="H33" s="52">
        <f t="shared" si="1"/>
        <v>20.5</v>
      </c>
      <c r="I33" s="227"/>
    </row>
    <row r="34" spans="1:9" s="5" customFormat="1" ht="18" customHeight="1">
      <c r="A34" s="26">
        <v>28</v>
      </c>
      <c r="B34" s="30" t="s">
        <v>25</v>
      </c>
      <c r="C34" s="103">
        <v>5380</v>
      </c>
      <c r="D34" s="151">
        <v>5</v>
      </c>
      <c r="E34" s="152">
        <v>292</v>
      </c>
      <c r="F34" s="153">
        <f t="shared" si="0"/>
        <v>18.425</v>
      </c>
      <c r="G34" s="153">
        <v>1.048</v>
      </c>
      <c r="H34" s="52">
        <f t="shared" si="1"/>
        <v>18.7</v>
      </c>
      <c r="I34" s="227"/>
    </row>
    <row r="35" spans="1:10" s="37" customFormat="1" ht="18.75" customHeight="1">
      <c r="A35" s="25">
        <v>29</v>
      </c>
      <c r="B35" s="32" t="s">
        <v>26</v>
      </c>
      <c r="C35" s="104">
        <v>28950</v>
      </c>
      <c r="D35" s="157">
        <v>2</v>
      </c>
      <c r="E35" s="152">
        <v>292</v>
      </c>
      <c r="F35" s="153">
        <f t="shared" si="0"/>
        <v>99.144</v>
      </c>
      <c r="G35" s="153">
        <v>1.021</v>
      </c>
      <c r="H35" s="52">
        <f t="shared" si="1"/>
        <v>39.4</v>
      </c>
      <c r="I35" s="227"/>
      <c r="J35" s="5"/>
    </row>
    <row r="36" spans="1:10" s="34" customFormat="1" ht="18.75" customHeight="1">
      <c r="A36" s="26">
        <v>30</v>
      </c>
      <c r="B36" s="32" t="s">
        <v>27</v>
      </c>
      <c r="C36" s="104"/>
      <c r="D36" s="157"/>
      <c r="E36" s="152">
        <v>292</v>
      </c>
      <c r="F36" s="153">
        <f t="shared" si="0"/>
        <v>0</v>
      </c>
      <c r="G36" s="153">
        <v>1.036</v>
      </c>
      <c r="H36" s="52">
        <f t="shared" si="1"/>
        <v>0</v>
      </c>
      <c r="I36" s="227"/>
      <c r="J36" s="5"/>
    </row>
    <row r="37" spans="1:9" s="5" customFormat="1" ht="15.75">
      <c r="A37" s="25">
        <v>31</v>
      </c>
      <c r="B37" s="30" t="s">
        <v>28</v>
      </c>
      <c r="C37" s="103"/>
      <c r="D37" s="151"/>
      <c r="E37" s="152">
        <v>292</v>
      </c>
      <c r="F37" s="153">
        <f t="shared" si="0"/>
        <v>0</v>
      </c>
      <c r="G37" s="153">
        <v>1.036</v>
      </c>
      <c r="H37" s="52">
        <f t="shared" si="1"/>
        <v>0</v>
      </c>
      <c r="I37" s="227"/>
    </row>
    <row r="38" spans="1:9" s="5" customFormat="1" ht="15.75">
      <c r="A38" s="26">
        <v>32</v>
      </c>
      <c r="B38" s="30" t="s">
        <v>29</v>
      </c>
      <c r="C38" s="103">
        <v>10733</v>
      </c>
      <c r="D38" s="151">
        <v>3</v>
      </c>
      <c r="E38" s="152">
        <v>292</v>
      </c>
      <c r="F38" s="153">
        <f t="shared" si="0"/>
        <v>36.757</v>
      </c>
      <c r="G38" s="153">
        <v>1.044</v>
      </c>
      <c r="H38" s="52">
        <f t="shared" si="1"/>
        <v>22.4</v>
      </c>
      <c r="I38" s="227"/>
    </row>
    <row r="39" spans="1:9" s="5" customFormat="1" ht="15.75">
      <c r="A39" s="25">
        <v>33</v>
      </c>
      <c r="B39" s="30" t="s">
        <v>30</v>
      </c>
      <c r="C39" s="103"/>
      <c r="D39" s="151"/>
      <c r="E39" s="152">
        <v>292</v>
      </c>
      <c r="F39" s="153">
        <f t="shared" si="0"/>
        <v>0</v>
      </c>
      <c r="G39" s="153">
        <v>1.033</v>
      </c>
      <c r="H39" s="52">
        <f t="shared" si="1"/>
        <v>0</v>
      </c>
      <c r="I39" s="227"/>
    </row>
    <row r="40" spans="1:9" s="5" customFormat="1" ht="15.75">
      <c r="A40" s="26">
        <v>34</v>
      </c>
      <c r="B40" s="30" t="s">
        <v>31</v>
      </c>
      <c r="C40" s="103">
        <v>1536</v>
      </c>
      <c r="D40" s="151">
        <v>25</v>
      </c>
      <c r="E40" s="152">
        <v>292</v>
      </c>
      <c r="F40" s="153">
        <f t="shared" si="0"/>
        <v>5.26</v>
      </c>
      <c r="G40" s="153">
        <v>1.027</v>
      </c>
      <c r="H40" s="52">
        <f t="shared" si="1"/>
        <v>26.2</v>
      </c>
      <c r="I40" s="227"/>
    </row>
    <row r="41" spans="1:10" s="34" customFormat="1" ht="16.5" customHeight="1">
      <c r="A41" s="25">
        <v>35</v>
      </c>
      <c r="B41" s="32" t="s">
        <v>32</v>
      </c>
      <c r="C41" s="104"/>
      <c r="D41" s="151"/>
      <c r="E41" s="152">
        <v>292</v>
      </c>
      <c r="F41" s="153">
        <f t="shared" si="0"/>
        <v>0</v>
      </c>
      <c r="G41" s="153">
        <v>1.029</v>
      </c>
      <c r="H41" s="52">
        <f t="shared" si="1"/>
        <v>0</v>
      </c>
      <c r="I41" s="227"/>
      <c r="J41" s="5"/>
    </row>
    <row r="42" spans="1:10" s="34" customFormat="1" ht="16.5" customHeight="1">
      <c r="A42" s="26">
        <v>36</v>
      </c>
      <c r="B42" s="32" t="s">
        <v>33</v>
      </c>
      <c r="C42" s="104">
        <v>1400</v>
      </c>
      <c r="D42" s="151">
        <v>10</v>
      </c>
      <c r="E42" s="152">
        <v>292</v>
      </c>
      <c r="F42" s="153">
        <f t="shared" si="0"/>
        <v>4.795</v>
      </c>
      <c r="G42" s="153">
        <v>1.089</v>
      </c>
      <c r="H42" s="52">
        <f t="shared" si="1"/>
        <v>10.1</v>
      </c>
      <c r="I42" s="227"/>
      <c r="J42" s="5"/>
    </row>
    <row r="43" spans="1:10" s="34" customFormat="1" ht="21" customHeight="1">
      <c r="A43" s="25">
        <v>37</v>
      </c>
      <c r="B43" s="32" t="s">
        <v>34</v>
      </c>
      <c r="C43" s="104"/>
      <c r="D43" s="151"/>
      <c r="E43" s="152">
        <v>292</v>
      </c>
      <c r="F43" s="153">
        <f t="shared" si="0"/>
        <v>0</v>
      </c>
      <c r="G43" s="153">
        <v>1.089</v>
      </c>
      <c r="H43" s="52">
        <f t="shared" si="1"/>
        <v>0</v>
      </c>
      <c r="I43" s="227"/>
      <c r="J43" s="5"/>
    </row>
    <row r="44" spans="1:10" s="34" customFormat="1" ht="15.75">
      <c r="A44" s="26">
        <v>38</v>
      </c>
      <c r="B44" s="32" t="s">
        <v>35</v>
      </c>
      <c r="C44" s="104"/>
      <c r="D44" s="160"/>
      <c r="E44" s="152">
        <v>292</v>
      </c>
      <c r="F44" s="153">
        <f t="shared" si="0"/>
        <v>0</v>
      </c>
      <c r="G44" s="153">
        <v>1.065</v>
      </c>
      <c r="H44" s="52">
        <f t="shared" si="1"/>
        <v>0</v>
      </c>
      <c r="I44" s="227"/>
      <c r="J44" s="5"/>
    </row>
    <row r="45" spans="1:9" s="5" customFormat="1" ht="16.5" thickBot="1">
      <c r="A45" s="25">
        <v>39</v>
      </c>
      <c r="B45" s="39" t="s">
        <v>36</v>
      </c>
      <c r="C45" s="103"/>
      <c r="D45" s="163"/>
      <c r="E45" s="152">
        <v>292</v>
      </c>
      <c r="F45" s="153">
        <f t="shared" si="0"/>
        <v>0</v>
      </c>
      <c r="G45" s="153">
        <v>1.053</v>
      </c>
      <c r="H45" s="52">
        <f t="shared" si="1"/>
        <v>0</v>
      </c>
      <c r="I45" s="227"/>
    </row>
    <row r="46" spans="1:8" s="37" customFormat="1" ht="32.25" thickBot="1">
      <c r="A46" s="46"/>
      <c r="B46" s="78" t="s">
        <v>74</v>
      </c>
      <c r="C46" s="75"/>
      <c r="D46" s="75">
        <f>SUM(D7:D45)</f>
        <v>729</v>
      </c>
      <c r="E46" s="105"/>
      <c r="F46" s="105"/>
      <c r="G46" s="105"/>
      <c r="H46" s="49">
        <f>SUM(H7:H45)</f>
        <v>541.8</v>
      </c>
    </row>
    <row r="47" spans="1:4" s="5" customFormat="1" ht="57" customHeight="1">
      <c r="A47" s="6"/>
      <c r="B47" s="7" t="s">
        <v>68</v>
      </c>
      <c r="C47" s="57"/>
      <c r="D47" s="53"/>
    </row>
    <row r="48" spans="1:4" s="5" customFormat="1" ht="15.75">
      <c r="A48" s="9"/>
      <c r="B48" s="10"/>
      <c r="C48" s="10"/>
      <c r="D48" s="53"/>
    </row>
    <row r="49" spans="1:4" s="5" customFormat="1" ht="15.75">
      <c r="A49" s="9"/>
      <c r="B49" s="10"/>
      <c r="C49" s="10"/>
      <c r="D49" s="53"/>
    </row>
    <row r="50" spans="1:3" s="5" customFormat="1" ht="15.75">
      <c r="A50" s="9"/>
      <c r="B50" s="10"/>
      <c r="C50" s="10"/>
    </row>
    <row r="51" spans="1:3" s="5" customFormat="1" ht="15.75">
      <c r="A51" s="9"/>
      <c r="B51" s="10"/>
      <c r="C51" s="10"/>
    </row>
    <row r="52" spans="1:3" s="5" customFormat="1" ht="15.75">
      <c r="A52" s="9"/>
      <c r="B52" s="12"/>
      <c r="C52" s="12"/>
    </row>
    <row r="53" spans="1:3" s="5" customFormat="1" ht="15.75">
      <c r="A53" s="9"/>
      <c r="B53" s="12"/>
      <c r="C53" s="12"/>
    </row>
    <row r="54" spans="1:3" s="5" customFormat="1" ht="16.5" customHeight="1">
      <c r="A54" s="9"/>
      <c r="B54" s="10"/>
      <c r="C54" s="10"/>
    </row>
    <row r="55" spans="1:3" s="5" customFormat="1" ht="15.75">
      <c r="A55" s="9"/>
      <c r="B55" s="10"/>
      <c r="C55" s="10"/>
    </row>
    <row r="56" spans="1:3" s="5" customFormat="1" ht="15.75">
      <c r="A56" s="9"/>
      <c r="B56" s="10"/>
      <c r="C56" s="10"/>
    </row>
    <row r="57" spans="1:3" s="5" customFormat="1" ht="15.75">
      <c r="A57" s="9"/>
      <c r="B57" s="10"/>
      <c r="C57" s="10"/>
    </row>
    <row r="58" spans="1:3" s="5" customFormat="1" ht="15.75">
      <c r="A58" s="9"/>
      <c r="B58" s="10"/>
      <c r="C58" s="10"/>
    </row>
    <row r="59" spans="1:3" s="5" customFormat="1" ht="15.75">
      <c r="A59" s="9"/>
      <c r="B59" s="10"/>
      <c r="C59" s="10"/>
    </row>
    <row r="60" spans="1:3" s="5" customFormat="1" ht="15.75">
      <c r="A60" s="9"/>
      <c r="B60" s="13"/>
      <c r="C60" s="13"/>
    </row>
    <row r="61" spans="1:3" s="15" customFormat="1" ht="16.5" customHeight="1">
      <c r="A61" s="239"/>
      <c r="B61" s="239"/>
      <c r="C61" s="124"/>
    </row>
    <row r="62" spans="1:3" ht="15.75">
      <c r="A62" s="9"/>
      <c r="B62" s="12"/>
      <c r="C62" s="12"/>
    </row>
    <row r="63" spans="1:3" ht="15.75">
      <c r="A63" s="9"/>
      <c r="B63" s="12"/>
      <c r="C63" s="12"/>
    </row>
    <row r="64" spans="1:3" ht="15.75">
      <c r="A64" s="9"/>
      <c r="B64" s="12"/>
      <c r="C64" s="12"/>
    </row>
    <row r="65" spans="1:3" ht="15.75">
      <c r="A65" s="9"/>
      <c r="B65" s="12"/>
      <c r="C65" s="12"/>
    </row>
    <row r="66" spans="1:3" ht="18" customHeight="1">
      <c r="A66" s="9"/>
      <c r="B66" s="12"/>
      <c r="C66" s="12"/>
    </row>
    <row r="67" spans="1:3" ht="15.75">
      <c r="A67" s="9"/>
      <c r="B67" s="12"/>
      <c r="C67" s="12"/>
    </row>
    <row r="68" spans="1:3" ht="15.75">
      <c r="A68" s="9"/>
      <c r="B68" s="12"/>
      <c r="C68" s="12"/>
    </row>
    <row r="69" spans="1:3" ht="15.75">
      <c r="A69" s="9"/>
      <c r="B69" s="12"/>
      <c r="C69" s="12"/>
    </row>
    <row r="70" spans="1:3" ht="15.75">
      <c r="A70" s="9"/>
      <c r="B70" s="12"/>
      <c r="C70" s="12"/>
    </row>
    <row r="71" spans="1:3" ht="15.75">
      <c r="A71" s="9"/>
      <c r="B71" s="12"/>
      <c r="C71" s="12"/>
    </row>
    <row r="72" spans="1:3" ht="15.75">
      <c r="A72" s="9"/>
      <c r="B72" s="10"/>
      <c r="C72" s="10"/>
    </row>
    <row r="73" spans="1:3" ht="15.75">
      <c r="A73" s="9"/>
      <c r="B73" s="10"/>
      <c r="C73" s="10"/>
    </row>
    <row r="74" spans="1:3" ht="15.75">
      <c r="A74" s="9"/>
      <c r="B74" s="10"/>
      <c r="C74" s="10"/>
    </row>
    <row r="75" spans="1:3" ht="15.75">
      <c r="A75" s="9"/>
      <c r="B75" s="10"/>
      <c r="C75" s="10"/>
    </row>
    <row r="76" spans="1:3" ht="15.75">
      <c r="A76" s="9"/>
      <c r="B76" s="10"/>
      <c r="C76" s="10"/>
    </row>
    <row r="77" spans="1:3" ht="15.75">
      <c r="A77" s="9"/>
      <c r="B77" s="10"/>
      <c r="C77" s="10"/>
    </row>
    <row r="78" spans="1:3" ht="15.75">
      <c r="A78" s="9"/>
      <c r="B78" s="10"/>
      <c r="C78" s="10"/>
    </row>
    <row r="79" spans="1:3" ht="15.75">
      <c r="A79" s="9"/>
      <c r="B79" s="10"/>
      <c r="C79" s="10"/>
    </row>
    <row r="80" spans="1:3" ht="15.75">
      <c r="A80" s="9"/>
      <c r="B80" s="10"/>
      <c r="C80" s="10"/>
    </row>
    <row r="81" spans="1:3" ht="15.75">
      <c r="A81" s="9"/>
      <c r="B81" s="10"/>
      <c r="C81" s="10"/>
    </row>
    <row r="82" spans="1:3" ht="15.75">
      <c r="A82" s="9"/>
      <c r="B82" s="10"/>
      <c r="C82" s="10"/>
    </row>
    <row r="83" spans="1:3" ht="15.75">
      <c r="A83" s="9"/>
      <c r="B83" s="10"/>
      <c r="C83" s="10"/>
    </row>
    <row r="84" spans="1:3" ht="15.75">
      <c r="A84" s="9"/>
      <c r="B84" s="10"/>
      <c r="C84" s="10"/>
    </row>
    <row r="85" spans="1:3" ht="15.75">
      <c r="A85" s="9"/>
      <c r="B85" s="10"/>
      <c r="C85" s="10"/>
    </row>
    <row r="86" spans="1:3" ht="15.75">
      <c r="A86" s="9"/>
      <c r="B86" s="10"/>
      <c r="C86" s="10"/>
    </row>
    <row r="87" spans="1:3" ht="15.75">
      <c r="A87" s="9"/>
      <c r="B87" s="10"/>
      <c r="C87" s="10"/>
    </row>
    <row r="88" spans="1:3" ht="15.75">
      <c r="A88" s="9"/>
      <c r="B88" s="10"/>
      <c r="C88" s="10"/>
    </row>
    <row r="89" spans="1:3" ht="15.75">
      <c r="A89" s="9"/>
      <c r="B89" s="10"/>
      <c r="C89" s="10"/>
    </row>
    <row r="90" spans="1:3" ht="15.75">
      <c r="A90" s="9"/>
      <c r="B90" s="10"/>
      <c r="C90" s="10"/>
    </row>
    <row r="91" spans="1:3" ht="15.75">
      <c r="A91" s="9"/>
      <c r="B91" s="10"/>
      <c r="C91" s="10"/>
    </row>
    <row r="92" spans="1:3" ht="15.75">
      <c r="A92" s="9"/>
      <c r="B92" s="10"/>
      <c r="C92" s="10"/>
    </row>
    <row r="93" spans="1:3" ht="15.75">
      <c r="A93" s="9"/>
      <c r="B93" s="10"/>
      <c r="C93" s="10"/>
    </row>
    <row r="94" spans="1:3" ht="15.75">
      <c r="A94" s="9"/>
      <c r="B94" s="10"/>
      <c r="C94" s="10"/>
    </row>
    <row r="95" spans="1:3" ht="15.75">
      <c r="A95" s="9"/>
      <c r="B95" s="10"/>
      <c r="C95" s="10"/>
    </row>
    <row r="96" spans="1:3" ht="15.75">
      <c r="A96" s="9"/>
      <c r="B96" s="10"/>
      <c r="C96" s="10"/>
    </row>
    <row r="97" spans="1:3" ht="15.75">
      <c r="A97" s="9"/>
      <c r="B97" s="10"/>
      <c r="C97" s="10"/>
    </row>
    <row r="98" spans="1:3" ht="15.75">
      <c r="A98" s="9"/>
      <c r="B98" s="10"/>
      <c r="C98" s="10"/>
    </row>
    <row r="99" spans="1:3" ht="15.75">
      <c r="A99" s="9"/>
      <c r="B99" s="10"/>
      <c r="C99" s="10"/>
    </row>
    <row r="100" spans="1:3" ht="15.75">
      <c r="A100" s="9"/>
      <c r="B100" s="10"/>
      <c r="C100" s="10"/>
    </row>
    <row r="101" spans="1:3" ht="15.75">
      <c r="A101" s="9"/>
      <c r="B101" s="10"/>
      <c r="C101" s="10"/>
    </row>
    <row r="102" spans="1:3" ht="15.75">
      <c r="A102" s="9"/>
      <c r="B102" s="10"/>
      <c r="C102" s="10"/>
    </row>
    <row r="103" spans="1:3" ht="15.75">
      <c r="A103" s="9"/>
      <c r="B103" s="10"/>
      <c r="C103" s="10"/>
    </row>
    <row r="104" spans="1:3" ht="15.75">
      <c r="A104" s="9"/>
      <c r="B104" s="10"/>
      <c r="C104" s="10"/>
    </row>
    <row r="105" spans="1:3" ht="15.75">
      <c r="A105" s="9"/>
      <c r="B105" s="10"/>
      <c r="C105" s="10"/>
    </row>
    <row r="106" spans="1:3" ht="15.75">
      <c r="A106" s="17"/>
      <c r="B106" s="18"/>
      <c r="C106" s="18"/>
    </row>
    <row r="107" spans="1:3" ht="18.75">
      <c r="A107" s="19"/>
      <c r="B107" s="19"/>
      <c r="C107" s="19"/>
    </row>
    <row r="108" spans="1:3" ht="12.75">
      <c r="A108" s="17"/>
      <c r="B108" s="17"/>
      <c r="C108" s="17"/>
    </row>
  </sheetData>
  <sheetProtection/>
  <mergeCells count="12">
    <mergeCell ref="E2:E5"/>
    <mergeCell ref="F2:F5"/>
    <mergeCell ref="H2:H6"/>
    <mergeCell ref="D5:D6"/>
    <mergeCell ref="A61:B61"/>
    <mergeCell ref="G2:G6"/>
    <mergeCell ref="A1:B1"/>
    <mergeCell ref="A2:A6"/>
    <mergeCell ref="B2:B4"/>
    <mergeCell ref="B5:B6"/>
    <mergeCell ref="D2:D3"/>
    <mergeCell ref="C2:C5"/>
  </mergeCells>
  <printOptions horizontalCentered="1"/>
  <pageMargins left="0" right="0" top="0.5905511811023623" bottom="0" header="0" footer="0"/>
  <pageSetup horizontalDpi="600" verticalDpi="600" orientation="landscape" paperSize="9" scale="50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07"/>
  <sheetViews>
    <sheetView view="pageBreakPreview" zoomScale="71" zoomScaleNormal="74" zoomScaleSheetLayoutView="7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" sqref="I1:J16384"/>
    </sheetView>
  </sheetViews>
  <sheetFormatPr defaultColWidth="9.140625" defaultRowHeight="12.75"/>
  <cols>
    <col min="1" max="1" width="9.00390625" style="3" customWidth="1"/>
    <col min="2" max="2" width="36.140625" style="3" customWidth="1"/>
    <col min="3" max="3" width="27.28125" style="3" customWidth="1"/>
    <col min="4" max="4" width="31.7109375" style="16" customWidth="1"/>
    <col min="5" max="7" width="25.00390625" style="16" customWidth="1"/>
    <col min="8" max="8" width="24.28125" style="16" customWidth="1"/>
    <col min="9" max="16384" width="9.140625" style="16" customWidth="1"/>
  </cols>
  <sheetData>
    <row r="1" spans="1:8" s="5" customFormat="1" ht="18.75" customHeight="1">
      <c r="A1" s="257"/>
      <c r="B1" s="257"/>
      <c r="C1" s="121"/>
      <c r="G1" s="116"/>
      <c r="H1" s="5" t="s">
        <v>84</v>
      </c>
    </row>
    <row r="2" spans="1:8" s="81" customFormat="1" ht="15.75" customHeight="1">
      <c r="A2" s="266" t="s">
        <v>75</v>
      </c>
      <c r="B2" s="237" t="s">
        <v>71</v>
      </c>
      <c r="C2" s="254" t="s">
        <v>79</v>
      </c>
      <c r="D2" s="236" t="s">
        <v>76</v>
      </c>
      <c r="E2" s="261" t="s">
        <v>77</v>
      </c>
      <c r="F2" s="261" t="s">
        <v>78</v>
      </c>
      <c r="G2" s="243" t="s">
        <v>91</v>
      </c>
      <c r="H2" s="261" t="s">
        <v>86</v>
      </c>
    </row>
    <row r="3" spans="1:8" s="81" customFormat="1" ht="51.75" customHeight="1">
      <c r="A3" s="266"/>
      <c r="B3" s="238"/>
      <c r="C3" s="255"/>
      <c r="D3" s="236"/>
      <c r="E3" s="262"/>
      <c r="F3" s="262"/>
      <c r="G3" s="243"/>
      <c r="H3" s="262"/>
    </row>
    <row r="4" spans="1:8" s="81" customFormat="1" ht="102.75" customHeight="1">
      <c r="A4" s="266"/>
      <c r="B4" s="238"/>
      <c r="C4" s="255"/>
      <c r="D4" s="130" t="s">
        <v>51</v>
      </c>
      <c r="E4" s="262"/>
      <c r="F4" s="262"/>
      <c r="G4" s="243"/>
      <c r="H4" s="262"/>
    </row>
    <row r="5" spans="1:8" s="81" customFormat="1" ht="65.25" customHeight="1">
      <c r="A5" s="266"/>
      <c r="B5" s="123" t="s">
        <v>70</v>
      </c>
      <c r="C5" s="255"/>
      <c r="D5" s="89" t="s">
        <v>46</v>
      </c>
      <c r="E5" s="263"/>
      <c r="F5" s="263"/>
      <c r="G5" s="243"/>
      <c r="H5" s="263"/>
    </row>
    <row r="6" spans="1:9" s="5" customFormat="1" ht="15.75">
      <c r="A6" s="22">
        <v>1</v>
      </c>
      <c r="B6" s="23" t="s">
        <v>0</v>
      </c>
      <c r="C6" s="109">
        <v>65</v>
      </c>
      <c r="D6" s="24">
        <v>407</v>
      </c>
      <c r="E6" s="54">
        <v>39</v>
      </c>
      <c r="F6" s="106">
        <f>ROUND(C6/E6,3)</f>
        <v>1.667</v>
      </c>
      <c r="G6" s="217">
        <v>1.03</v>
      </c>
      <c r="H6" s="59">
        <f>ROUNDDOWN(D6*E6*F6*G6/1000*8/12,1)</f>
        <v>18.1</v>
      </c>
      <c r="I6" s="227"/>
    </row>
    <row r="7" spans="1:9" s="5" customFormat="1" ht="15.75">
      <c r="A7" s="25">
        <v>2</v>
      </c>
      <c r="B7" s="23" t="s">
        <v>60</v>
      </c>
      <c r="C7" s="109">
        <v>129</v>
      </c>
      <c r="D7" s="24">
        <v>368</v>
      </c>
      <c r="E7" s="54">
        <v>39</v>
      </c>
      <c r="F7" s="106">
        <f aca="true" t="shared" si="0" ref="F7:F44">ROUND(C7/E7,3)</f>
        <v>3.308</v>
      </c>
      <c r="G7" s="229">
        <v>1.04</v>
      </c>
      <c r="H7" s="59">
        <f aca="true" t="shared" si="1" ref="H7:H44">ROUNDDOWN(D7*E7*F7*G7/1000*8/12,1)</f>
        <v>32.9</v>
      </c>
      <c r="I7" s="227"/>
    </row>
    <row r="8" spans="1:9" s="5" customFormat="1" ht="15.75">
      <c r="A8" s="25">
        <v>3</v>
      </c>
      <c r="B8" s="23" t="s">
        <v>1</v>
      </c>
      <c r="C8" s="109">
        <v>74</v>
      </c>
      <c r="D8" s="24">
        <v>310</v>
      </c>
      <c r="E8" s="54">
        <v>39</v>
      </c>
      <c r="F8" s="106">
        <f t="shared" si="0"/>
        <v>1.897</v>
      </c>
      <c r="G8" s="229">
        <v>1.035</v>
      </c>
      <c r="H8" s="59">
        <f t="shared" si="1"/>
        <v>15.8</v>
      </c>
      <c r="I8" s="227"/>
    </row>
    <row r="9" spans="1:9" s="5" customFormat="1" ht="15.75">
      <c r="A9" s="25">
        <v>4</v>
      </c>
      <c r="B9" s="23" t="s">
        <v>2</v>
      </c>
      <c r="C9" s="109">
        <v>157</v>
      </c>
      <c r="D9" s="24">
        <v>224</v>
      </c>
      <c r="E9" s="54">
        <v>39</v>
      </c>
      <c r="F9" s="106">
        <f t="shared" si="0"/>
        <v>4.026</v>
      </c>
      <c r="G9" s="229">
        <v>1.051</v>
      </c>
      <c r="H9" s="59">
        <f t="shared" si="1"/>
        <v>24.6</v>
      </c>
      <c r="I9" s="227"/>
    </row>
    <row r="10" spans="1:9" s="5" customFormat="1" ht="15.75">
      <c r="A10" s="25">
        <v>5</v>
      </c>
      <c r="B10" s="23" t="s">
        <v>59</v>
      </c>
      <c r="C10" s="109">
        <v>1010</v>
      </c>
      <c r="D10" s="24">
        <v>20</v>
      </c>
      <c r="E10" s="54">
        <v>39</v>
      </c>
      <c r="F10" s="106">
        <f t="shared" si="0"/>
        <v>25.897</v>
      </c>
      <c r="G10" s="229">
        <v>1.069</v>
      </c>
      <c r="H10" s="59">
        <f t="shared" si="1"/>
        <v>14.3</v>
      </c>
      <c r="I10" s="227"/>
    </row>
    <row r="11" spans="1:9" s="5" customFormat="1" ht="15.75">
      <c r="A11" s="25">
        <v>6</v>
      </c>
      <c r="B11" s="23" t="s">
        <v>3</v>
      </c>
      <c r="C11" s="109">
        <v>548</v>
      </c>
      <c r="D11" s="24">
        <v>52</v>
      </c>
      <c r="E11" s="54">
        <v>39</v>
      </c>
      <c r="F11" s="106">
        <f t="shared" si="0"/>
        <v>14.051</v>
      </c>
      <c r="G11" s="229">
        <v>1.034</v>
      </c>
      <c r="H11" s="59">
        <f t="shared" si="1"/>
        <v>19.6</v>
      </c>
      <c r="I11" s="227"/>
    </row>
    <row r="12" spans="1:9" s="5" customFormat="1" ht="15.75" customHeight="1">
      <c r="A12" s="25">
        <v>7</v>
      </c>
      <c r="B12" s="23" t="s">
        <v>4</v>
      </c>
      <c r="C12" s="109">
        <v>39</v>
      </c>
      <c r="D12" s="24">
        <v>831</v>
      </c>
      <c r="E12" s="54">
        <v>39</v>
      </c>
      <c r="F12" s="106">
        <f t="shared" si="0"/>
        <v>1</v>
      </c>
      <c r="G12" s="229">
        <v>1.032</v>
      </c>
      <c r="H12" s="59">
        <f t="shared" si="1"/>
        <v>22.2</v>
      </c>
      <c r="I12" s="227"/>
    </row>
    <row r="13" spans="1:10" s="28" customFormat="1" ht="15.75">
      <c r="A13" s="26">
        <v>8</v>
      </c>
      <c r="B13" s="27" t="s">
        <v>5</v>
      </c>
      <c r="C13" s="110">
        <v>244</v>
      </c>
      <c r="D13" s="24">
        <v>165</v>
      </c>
      <c r="E13" s="54">
        <v>39</v>
      </c>
      <c r="F13" s="106">
        <f t="shared" si="0"/>
        <v>6.256</v>
      </c>
      <c r="G13" s="229">
        <v>1.02</v>
      </c>
      <c r="H13" s="59">
        <f t="shared" si="1"/>
        <v>27.3</v>
      </c>
      <c r="I13" s="227"/>
      <c r="J13" s="5"/>
    </row>
    <row r="14" spans="1:9" s="5" customFormat="1" ht="15.75">
      <c r="A14" s="25">
        <v>9</v>
      </c>
      <c r="B14" s="23" t="s">
        <v>6</v>
      </c>
      <c r="C14" s="109">
        <v>341</v>
      </c>
      <c r="D14" s="24">
        <v>37</v>
      </c>
      <c r="E14" s="54">
        <v>39</v>
      </c>
      <c r="F14" s="106">
        <f t="shared" si="0"/>
        <v>8.744</v>
      </c>
      <c r="G14" s="229">
        <v>1.064</v>
      </c>
      <c r="H14" s="59">
        <f t="shared" si="1"/>
        <v>8.9</v>
      </c>
      <c r="I14" s="227"/>
    </row>
    <row r="15" spans="1:9" s="5" customFormat="1" ht="15.75">
      <c r="A15" s="26">
        <v>10</v>
      </c>
      <c r="B15" s="30" t="s">
        <v>7</v>
      </c>
      <c r="C15" s="111">
        <v>166</v>
      </c>
      <c r="D15" s="24">
        <v>183</v>
      </c>
      <c r="E15" s="54">
        <v>39</v>
      </c>
      <c r="F15" s="106">
        <f t="shared" si="0"/>
        <v>4.256</v>
      </c>
      <c r="G15" s="229">
        <v>1.045</v>
      </c>
      <c r="H15" s="59">
        <f t="shared" si="1"/>
        <v>21.1</v>
      </c>
      <c r="I15" s="227"/>
    </row>
    <row r="16" spans="1:9" s="5" customFormat="1" ht="15.75">
      <c r="A16" s="25">
        <v>11</v>
      </c>
      <c r="B16" s="30" t="s">
        <v>8</v>
      </c>
      <c r="C16" s="111">
        <v>297</v>
      </c>
      <c r="D16" s="24">
        <v>98</v>
      </c>
      <c r="E16" s="54">
        <v>39</v>
      </c>
      <c r="F16" s="106">
        <f t="shared" si="0"/>
        <v>7.615</v>
      </c>
      <c r="G16" s="229">
        <v>1.057</v>
      </c>
      <c r="H16" s="59">
        <f t="shared" si="1"/>
        <v>20.5</v>
      </c>
      <c r="I16" s="227"/>
    </row>
    <row r="17" spans="1:9" s="5" customFormat="1" ht="15.75">
      <c r="A17" s="26">
        <v>12</v>
      </c>
      <c r="B17" s="30" t="s">
        <v>9</v>
      </c>
      <c r="C17" s="111">
        <v>162</v>
      </c>
      <c r="D17" s="24">
        <v>234</v>
      </c>
      <c r="E17" s="54">
        <v>39</v>
      </c>
      <c r="F17" s="106">
        <f t="shared" si="0"/>
        <v>4.154</v>
      </c>
      <c r="G17" s="229">
        <v>1.054</v>
      </c>
      <c r="H17" s="59">
        <f t="shared" si="1"/>
        <v>26.6</v>
      </c>
      <c r="I17" s="227"/>
    </row>
    <row r="18" spans="1:9" s="5" customFormat="1" ht="15.75">
      <c r="A18" s="25">
        <v>13</v>
      </c>
      <c r="B18" s="30" t="s">
        <v>10</v>
      </c>
      <c r="C18" s="111">
        <v>74</v>
      </c>
      <c r="D18" s="24">
        <v>633</v>
      </c>
      <c r="E18" s="54">
        <v>39</v>
      </c>
      <c r="F18" s="106">
        <f t="shared" si="0"/>
        <v>1.897</v>
      </c>
      <c r="G18" s="229">
        <v>1.033</v>
      </c>
      <c r="H18" s="59">
        <f t="shared" si="1"/>
        <v>32.2</v>
      </c>
      <c r="I18" s="227"/>
    </row>
    <row r="19" spans="1:9" s="5" customFormat="1" ht="19.5" customHeight="1">
      <c r="A19" s="26">
        <v>14</v>
      </c>
      <c r="B19" s="30" t="s">
        <v>11</v>
      </c>
      <c r="C19" s="111">
        <v>304</v>
      </c>
      <c r="D19" s="24">
        <v>68</v>
      </c>
      <c r="E19" s="54">
        <v>39</v>
      </c>
      <c r="F19" s="106">
        <f t="shared" si="0"/>
        <v>7.795</v>
      </c>
      <c r="G19" s="229">
        <v>1.07</v>
      </c>
      <c r="H19" s="59">
        <f t="shared" si="1"/>
        <v>14.7</v>
      </c>
      <c r="I19" s="227"/>
    </row>
    <row r="20" spans="1:9" s="5" customFormat="1" ht="15.75">
      <c r="A20" s="25">
        <v>15</v>
      </c>
      <c r="B20" s="30" t="s">
        <v>12</v>
      </c>
      <c r="C20" s="111">
        <v>233</v>
      </c>
      <c r="D20" s="24">
        <v>180</v>
      </c>
      <c r="E20" s="54">
        <v>39</v>
      </c>
      <c r="F20" s="106">
        <f t="shared" si="0"/>
        <v>5.974</v>
      </c>
      <c r="G20" s="229">
        <v>1.033</v>
      </c>
      <c r="H20" s="59">
        <f t="shared" si="1"/>
        <v>28.8</v>
      </c>
      <c r="I20" s="227"/>
    </row>
    <row r="21" spans="1:10" s="34" customFormat="1" ht="25.5" customHeight="1">
      <c r="A21" s="26">
        <v>16</v>
      </c>
      <c r="B21" s="32" t="s">
        <v>13</v>
      </c>
      <c r="C21" s="112">
        <v>252</v>
      </c>
      <c r="D21" s="24">
        <v>157</v>
      </c>
      <c r="E21" s="54">
        <v>39</v>
      </c>
      <c r="F21" s="106">
        <f t="shared" si="0"/>
        <v>6.462</v>
      </c>
      <c r="G21" s="229">
        <v>1.033</v>
      </c>
      <c r="H21" s="59">
        <f t="shared" si="1"/>
        <v>27.2</v>
      </c>
      <c r="I21" s="227"/>
      <c r="J21" s="5"/>
    </row>
    <row r="22" spans="1:10" s="37" customFormat="1" ht="19.5" customHeight="1">
      <c r="A22" s="25">
        <v>17</v>
      </c>
      <c r="B22" s="32" t="s">
        <v>14</v>
      </c>
      <c r="C22" s="112">
        <v>589</v>
      </c>
      <c r="D22" s="35">
        <v>27</v>
      </c>
      <c r="E22" s="54">
        <v>39</v>
      </c>
      <c r="F22" s="106">
        <f t="shared" si="0"/>
        <v>15.103</v>
      </c>
      <c r="G22" s="229">
        <v>1.046</v>
      </c>
      <c r="H22" s="59">
        <f t="shared" si="1"/>
        <v>11</v>
      </c>
      <c r="I22" s="227"/>
      <c r="J22" s="5"/>
    </row>
    <row r="23" spans="1:9" s="5" customFormat="1" ht="15.75">
      <c r="A23" s="26">
        <v>18</v>
      </c>
      <c r="B23" s="30" t="s">
        <v>15</v>
      </c>
      <c r="C23" s="111">
        <v>220</v>
      </c>
      <c r="D23" s="24">
        <v>70</v>
      </c>
      <c r="E23" s="54">
        <v>39</v>
      </c>
      <c r="F23" s="106">
        <f t="shared" si="0"/>
        <v>5.641</v>
      </c>
      <c r="G23" s="229">
        <v>1.09</v>
      </c>
      <c r="H23" s="59">
        <f t="shared" si="1"/>
        <v>11.1</v>
      </c>
      <c r="I23" s="227"/>
    </row>
    <row r="24" spans="1:10" s="34" customFormat="1" ht="21" customHeight="1">
      <c r="A24" s="25">
        <v>19</v>
      </c>
      <c r="B24" s="32" t="s">
        <v>16</v>
      </c>
      <c r="C24" s="112">
        <v>162</v>
      </c>
      <c r="D24" s="24">
        <v>245</v>
      </c>
      <c r="E24" s="54">
        <v>39</v>
      </c>
      <c r="F24" s="106">
        <f t="shared" si="0"/>
        <v>4.154</v>
      </c>
      <c r="G24" s="229">
        <v>1.036</v>
      </c>
      <c r="H24" s="59">
        <f t="shared" si="1"/>
        <v>27.4</v>
      </c>
      <c r="I24" s="227"/>
      <c r="J24" s="5"/>
    </row>
    <row r="25" spans="1:9" s="5" customFormat="1" ht="15.75">
      <c r="A25" s="26">
        <v>20</v>
      </c>
      <c r="B25" s="30" t="s">
        <v>17</v>
      </c>
      <c r="C25" s="111">
        <v>165</v>
      </c>
      <c r="D25" s="24">
        <v>180</v>
      </c>
      <c r="E25" s="54">
        <v>39</v>
      </c>
      <c r="F25" s="106">
        <f t="shared" si="0"/>
        <v>4.231</v>
      </c>
      <c r="G25" s="229">
        <v>1.045</v>
      </c>
      <c r="H25" s="59">
        <f t="shared" si="1"/>
        <v>20.6</v>
      </c>
      <c r="I25" s="227"/>
    </row>
    <row r="26" spans="1:9" s="5" customFormat="1" ht="15.75">
      <c r="A26" s="25">
        <v>21</v>
      </c>
      <c r="B26" s="30" t="s">
        <v>18</v>
      </c>
      <c r="C26" s="111">
        <v>383</v>
      </c>
      <c r="D26" s="24">
        <v>63</v>
      </c>
      <c r="E26" s="54">
        <v>39</v>
      </c>
      <c r="F26" s="106">
        <f t="shared" si="0"/>
        <v>9.821</v>
      </c>
      <c r="G26" s="229">
        <v>1.039</v>
      </c>
      <c r="H26" s="59">
        <f t="shared" si="1"/>
        <v>16.7</v>
      </c>
      <c r="I26" s="227"/>
    </row>
    <row r="27" spans="1:10" s="37" customFormat="1" ht="15" customHeight="1">
      <c r="A27" s="26">
        <v>22</v>
      </c>
      <c r="B27" s="32" t="s">
        <v>19</v>
      </c>
      <c r="C27" s="112">
        <v>138</v>
      </c>
      <c r="D27" s="35">
        <v>260</v>
      </c>
      <c r="E27" s="54">
        <v>39</v>
      </c>
      <c r="F27" s="106">
        <f t="shared" si="0"/>
        <v>3.538</v>
      </c>
      <c r="G27" s="229">
        <v>1.046</v>
      </c>
      <c r="H27" s="59">
        <f t="shared" si="1"/>
        <v>25</v>
      </c>
      <c r="I27" s="227"/>
      <c r="J27" s="5"/>
    </row>
    <row r="28" spans="1:10" s="34" customFormat="1" ht="18.75" customHeight="1">
      <c r="A28" s="25">
        <v>23</v>
      </c>
      <c r="B28" s="32" t="s">
        <v>20</v>
      </c>
      <c r="C28" s="112">
        <v>1127</v>
      </c>
      <c r="D28" s="24">
        <v>22</v>
      </c>
      <c r="E28" s="54">
        <v>39</v>
      </c>
      <c r="F28" s="106">
        <f t="shared" si="0"/>
        <v>28.897</v>
      </c>
      <c r="G28" s="229">
        <v>1.033</v>
      </c>
      <c r="H28" s="59">
        <f t="shared" si="1"/>
        <v>17</v>
      </c>
      <c r="I28" s="227"/>
      <c r="J28" s="5"/>
    </row>
    <row r="29" spans="1:9" s="5" customFormat="1" ht="15.75">
      <c r="A29" s="26">
        <v>24</v>
      </c>
      <c r="B29" s="30" t="s">
        <v>21</v>
      </c>
      <c r="C29" s="111">
        <v>492</v>
      </c>
      <c r="D29" s="24">
        <v>39</v>
      </c>
      <c r="E29" s="54">
        <v>39</v>
      </c>
      <c r="F29" s="106">
        <f t="shared" si="0"/>
        <v>12.615</v>
      </c>
      <c r="G29" s="229">
        <v>1.057</v>
      </c>
      <c r="H29" s="59">
        <f t="shared" si="1"/>
        <v>13.5</v>
      </c>
      <c r="I29" s="227"/>
    </row>
    <row r="30" spans="1:9" s="5" customFormat="1" ht="15.75">
      <c r="A30" s="25">
        <v>25</v>
      </c>
      <c r="B30" s="30" t="s">
        <v>22</v>
      </c>
      <c r="C30" s="111">
        <v>695</v>
      </c>
      <c r="D30" s="24">
        <v>40</v>
      </c>
      <c r="E30" s="54">
        <v>39</v>
      </c>
      <c r="F30" s="106">
        <f t="shared" si="0"/>
        <v>17.821</v>
      </c>
      <c r="G30" s="229">
        <v>1.04</v>
      </c>
      <c r="H30" s="59">
        <f t="shared" si="1"/>
        <v>19.2</v>
      </c>
      <c r="I30" s="227"/>
    </row>
    <row r="31" spans="1:9" s="5" customFormat="1" ht="15.75">
      <c r="A31" s="26">
        <v>26</v>
      </c>
      <c r="B31" s="30" t="s">
        <v>23</v>
      </c>
      <c r="C31" s="111">
        <v>301</v>
      </c>
      <c r="D31" s="24">
        <v>112</v>
      </c>
      <c r="E31" s="54">
        <v>39</v>
      </c>
      <c r="F31" s="106">
        <f t="shared" si="0"/>
        <v>7.718</v>
      </c>
      <c r="G31" s="229">
        <v>1.045</v>
      </c>
      <c r="H31" s="59">
        <f t="shared" si="1"/>
        <v>23.4</v>
      </c>
      <c r="I31" s="227"/>
    </row>
    <row r="32" spans="1:9" s="5" customFormat="1" ht="19.5" customHeight="1">
      <c r="A32" s="25">
        <v>27</v>
      </c>
      <c r="B32" s="30" t="s">
        <v>24</v>
      </c>
      <c r="C32" s="111">
        <v>261</v>
      </c>
      <c r="D32" s="24">
        <v>113</v>
      </c>
      <c r="E32" s="54">
        <v>39</v>
      </c>
      <c r="F32" s="106">
        <f t="shared" si="0"/>
        <v>6.692</v>
      </c>
      <c r="G32" s="229">
        <v>1.045</v>
      </c>
      <c r="H32" s="59">
        <f t="shared" si="1"/>
        <v>20.5</v>
      </c>
      <c r="I32" s="227"/>
    </row>
    <row r="33" spans="1:9" s="5" customFormat="1" ht="18" customHeight="1">
      <c r="A33" s="26">
        <v>28</v>
      </c>
      <c r="B33" s="30" t="s">
        <v>25</v>
      </c>
      <c r="C33" s="111">
        <v>508</v>
      </c>
      <c r="D33" s="24">
        <v>53</v>
      </c>
      <c r="E33" s="54">
        <v>39</v>
      </c>
      <c r="F33" s="106">
        <f t="shared" si="0"/>
        <v>13.026</v>
      </c>
      <c r="G33" s="229">
        <v>1.048</v>
      </c>
      <c r="H33" s="59">
        <f t="shared" si="1"/>
        <v>18.8</v>
      </c>
      <c r="I33" s="227"/>
    </row>
    <row r="34" spans="1:10" s="37" customFormat="1" ht="18.75" customHeight="1">
      <c r="A34" s="25">
        <v>29</v>
      </c>
      <c r="B34" s="32" t="s">
        <v>26</v>
      </c>
      <c r="C34" s="112">
        <v>1448</v>
      </c>
      <c r="D34" s="35">
        <v>40</v>
      </c>
      <c r="E34" s="54">
        <v>39</v>
      </c>
      <c r="F34" s="106">
        <f t="shared" si="0"/>
        <v>37.128</v>
      </c>
      <c r="G34" s="229">
        <v>1.021</v>
      </c>
      <c r="H34" s="59">
        <f t="shared" si="1"/>
        <v>39.4</v>
      </c>
      <c r="I34" s="227"/>
      <c r="J34" s="5"/>
    </row>
    <row r="35" spans="1:10" s="37" customFormat="1" ht="24" customHeight="1">
      <c r="A35" s="42">
        <v>30</v>
      </c>
      <c r="B35" s="32" t="s">
        <v>27</v>
      </c>
      <c r="C35" s="112">
        <v>505</v>
      </c>
      <c r="D35" s="35">
        <v>43</v>
      </c>
      <c r="E35" s="54">
        <v>39</v>
      </c>
      <c r="F35" s="106">
        <f t="shared" si="0"/>
        <v>12.949</v>
      </c>
      <c r="G35" s="229">
        <v>1.036</v>
      </c>
      <c r="H35" s="59">
        <f t="shared" si="1"/>
        <v>14.9</v>
      </c>
      <c r="I35" s="227"/>
      <c r="J35" s="5"/>
    </row>
    <row r="36" spans="1:9" s="5" customFormat="1" ht="15.75">
      <c r="A36" s="25">
        <v>31</v>
      </c>
      <c r="B36" s="30" t="s">
        <v>28</v>
      </c>
      <c r="C36" s="111">
        <v>323</v>
      </c>
      <c r="D36" s="24">
        <v>108</v>
      </c>
      <c r="E36" s="54">
        <v>39</v>
      </c>
      <c r="F36" s="106">
        <f t="shared" si="0"/>
        <v>8.282</v>
      </c>
      <c r="G36" s="229">
        <v>1.036</v>
      </c>
      <c r="H36" s="59">
        <f t="shared" si="1"/>
        <v>24</v>
      </c>
      <c r="I36" s="227"/>
    </row>
    <row r="37" spans="1:9" s="5" customFormat="1" ht="15.75">
      <c r="A37" s="26">
        <v>32</v>
      </c>
      <c r="B37" s="30" t="s">
        <v>29</v>
      </c>
      <c r="C37" s="111">
        <v>460</v>
      </c>
      <c r="D37" s="24">
        <v>70</v>
      </c>
      <c r="E37" s="54">
        <v>39</v>
      </c>
      <c r="F37" s="106">
        <f t="shared" si="0"/>
        <v>11.795</v>
      </c>
      <c r="G37" s="229">
        <v>1.044</v>
      </c>
      <c r="H37" s="59">
        <f t="shared" si="1"/>
        <v>22.4</v>
      </c>
      <c r="I37" s="227"/>
    </row>
    <row r="38" spans="1:9" s="5" customFormat="1" ht="15.75">
      <c r="A38" s="25">
        <v>33</v>
      </c>
      <c r="B38" s="30" t="s">
        <v>30</v>
      </c>
      <c r="C38" s="111">
        <v>283</v>
      </c>
      <c r="D38" s="24">
        <v>40</v>
      </c>
      <c r="E38" s="54">
        <v>39</v>
      </c>
      <c r="F38" s="106">
        <f t="shared" si="0"/>
        <v>7.256</v>
      </c>
      <c r="G38" s="229">
        <v>1.033</v>
      </c>
      <c r="H38" s="59">
        <f t="shared" si="1"/>
        <v>7.7</v>
      </c>
      <c r="I38" s="227"/>
    </row>
    <row r="39" spans="1:9" s="5" customFormat="1" ht="15.75">
      <c r="A39" s="26">
        <v>34</v>
      </c>
      <c r="B39" s="30" t="s">
        <v>31</v>
      </c>
      <c r="C39" s="111">
        <v>325</v>
      </c>
      <c r="D39" s="24">
        <v>118</v>
      </c>
      <c r="E39" s="54">
        <v>39</v>
      </c>
      <c r="F39" s="106">
        <f t="shared" si="0"/>
        <v>8.333</v>
      </c>
      <c r="G39" s="229">
        <v>1.027</v>
      </c>
      <c r="H39" s="59">
        <f t="shared" si="1"/>
        <v>26.2</v>
      </c>
      <c r="I39" s="227"/>
    </row>
    <row r="40" spans="1:10" s="34" customFormat="1" ht="22.5" customHeight="1">
      <c r="A40" s="25">
        <v>35</v>
      </c>
      <c r="B40" s="32" t="s">
        <v>32</v>
      </c>
      <c r="C40" s="112">
        <v>6186</v>
      </c>
      <c r="D40" s="24">
        <v>7</v>
      </c>
      <c r="E40" s="54">
        <v>39</v>
      </c>
      <c r="F40" s="106">
        <f t="shared" si="0"/>
        <v>158.615</v>
      </c>
      <c r="G40" s="229">
        <v>1.029</v>
      </c>
      <c r="H40" s="59">
        <f t="shared" si="1"/>
        <v>29.7</v>
      </c>
      <c r="I40" s="227"/>
      <c r="J40" s="5"/>
    </row>
    <row r="41" spans="1:10" s="34" customFormat="1" ht="16.5" customHeight="1">
      <c r="A41" s="26">
        <v>36</v>
      </c>
      <c r="B41" s="32" t="s">
        <v>33</v>
      </c>
      <c r="C41" s="112">
        <v>78</v>
      </c>
      <c r="D41" s="24">
        <v>180</v>
      </c>
      <c r="E41" s="54">
        <v>39</v>
      </c>
      <c r="F41" s="106">
        <f t="shared" si="0"/>
        <v>2</v>
      </c>
      <c r="G41" s="229">
        <v>1.089</v>
      </c>
      <c r="H41" s="59">
        <f t="shared" si="1"/>
        <v>10.1</v>
      </c>
      <c r="I41" s="227"/>
      <c r="J41" s="5"/>
    </row>
    <row r="42" spans="1:10" s="34" customFormat="1" ht="21" customHeight="1">
      <c r="A42" s="25">
        <v>37</v>
      </c>
      <c r="B42" s="32" t="s">
        <v>34</v>
      </c>
      <c r="C42" s="112">
        <v>134</v>
      </c>
      <c r="D42" s="24">
        <v>85</v>
      </c>
      <c r="E42" s="54">
        <v>39</v>
      </c>
      <c r="F42" s="106">
        <f t="shared" si="0"/>
        <v>3.436</v>
      </c>
      <c r="G42" s="229">
        <v>1.089</v>
      </c>
      <c r="H42" s="59">
        <f t="shared" si="1"/>
        <v>8.2</v>
      </c>
      <c r="I42" s="227"/>
      <c r="J42" s="5"/>
    </row>
    <row r="43" spans="1:10" s="34" customFormat="1" ht="15.75">
      <c r="A43" s="26">
        <v>38</v>
      </c>
      <c r="B43" s="32" t="s">
        <v>35</v>
      </c>
      <c r="C43" s="112">
        <v>496</v>
      </c>
      <c r="D43" s="38">
        <v>45</v>
      </c>
      <c r="E43" s="54">
        <v>39</v>
      </c>
      <c r="F43" s="106">
        <f t="shared" si="0"/>
        <v>12.718</v>
      </c>
      <c r="G43" s="229">
        <v>1.065</v>
      </c>
      <c r="H43" s="59">
        <f t="shared" si="1"/>
        <v>15.8</v>
      </c>
      <c r="I43" s="227"/>
      <c r="J43" s="5"/>
    </row>
    <row r="44" spans="1:9" s="5" customFormat="1" ht="16.5" thickBot="1">
      <c r="A44" s="25">
        <v>39</v>
      </c>
      <c r="B44" s="39" t="s">
        <v>36</v>
      </c>
      <c r="C44" s="113">
        <v>1100</v>
      </c>
      <c r="D44" s="68">
        <v>28</v>
      </c>
      <c r="E44" s="54">
        <v>39</v>
      </c>
      <c r="F44" s="106">
        <f t="shared" si="0"/>
        <v>28.205</v>
      </c>
      <c r="G44" s="229">
        <v>1.053</v>
      </c>
      <c r="H44" s="59">
        <f t="shared" si="1"/>
        <v>21.6</v>
      </c>
      <c r="I44" s="227"/>
    </row>
    <row r="45" spans="1:8" s="34" customFormat="1" ht="32.25" thickBot="1">
      <c r="A45" s="46"/>
      <c r="B45" s="142" t="s">
        <v>74</v>
      </c>
      <c r="C45" s="108"/>
      <c r="D45" s="75">
        <f>SUM(D6:D44)</f>
        <v>5955</v>
      </c>
      <c r="E45" s="99"/>
      <c r="F45" s="99"/>
      <c r="G45" s="99"/>
      <c r="H45" s="50">
        <f>SUM(H6:H44)</f>
        <v>799.0000000000001</v>
      </c>
    </row>
    <row r="46" spans="1:8" s="5" customFormat="1" ht="18" customHeight="1">
      <c r="A46" s="6"/>
      <c r="B46" s="57"/>
      <c r="C46" s="57"/>
      <c r="D46" s="55">
        <f>SUM(D6:D13)</f>
        <v>2377</v>
      </c>
      <c r="E46" s="58">
        <f>D46/8</f>
        <v>297.125</v>
      </c>
      <c r="F46" s="58"/>
      <c r="G46" s="58"/>
      <c r="H46" s="51"/>
    </row>
    <row r="47" spans="1:7" s="5" customFormat="1" ht="15.75">
      <c r="A47" s="9"/>
      <c r="B47" s="57" t="s">
        <v>62</v>
      </c>
      <c r="C47" s="57"/>
      <c r="E47" s="55"/>
      <c r="F47" s="55"/>
      <c r="G47" s="55"/>
    </row>
    <row r="48" spans="1:7" s="5" customFormat="1" ht="15.75">
      <c r="A48" s="9"/>
      <c r="B48" s="10" t="s">
        <v>63</v>
      </c>
      <c r="C48" s="10"/>
      <c r="D48" s="56">
        <f>D45-D46</f>
        <v>3578</v>
      </c>
      <c r="E48" s="58">
        <f>D48/31</f>
        <v>115.41935483870968</v>
      </c>
      <c r="F48" s="58"/>
      <c r="G48" s="58"/>
    </row>
    <row r="49" spans="1:3" s="5" customFormat="1" ht="15.75">
      <c r="A49" s="9"/>
      <c r="B49" s="10"/>
      <c r="C49" s="10"/>
    </row>
    <row r="50" spans="1:3" s="5" customFormat="1" ht="15.75">
      <c r="A50" s="9"/>
      <c r="B50" s="10"/>
      <c r="C50" s="10"/>
    </row>
    <row r="51" spans="1:3" s="5" customFormat="1" ht="15.75">
      <c r="A51" s="9"/>
      <c r="B51" s="12"/>
      <c r="C51" s="12"/>
    </row>
    <row r="52" spans="1:3" s="5" customFormat="1" ht="15.75">
      <c r="A52" s="9"/>
      <c r="B52" s="12"/>
      <c r="C52" s="12"/>
    </row>
    <row r="53" spans="1:3" s="5" customFormat="1" ht="16.5" customHeight="1">
      <c r="A53" s="9"/>
      <c r="B53" s="10"/>
      <c r="C53" s="10"/>
    </row>
    <row r="54" spans="1:3" s="5" customFormat="1" ht="15.75">
      <c r="A54" s="9"/>
      <c r="B54" s="10"/>
      <c r="C54" s="10"/>
    </row>
    <row r="55" spans="1:3" s="5" customFormat="1" ht="15.75">
      <c r="A55" s="9"/>
      <c r="B55" s="10"/>
      <c r="C55" s="10"/>
    </row>
    <row r="56" spans="1:3" s="5" customFormat="1" ht="15.75">
      <c r="A56" s="9"/>
      <c r="B56" s="10"/>
      <c r="C56" s="10"/>
    </row>
    <row r="57" spans="1:3" s="5" customFormat="1" ht="15.75">
      <c r="A57" s="9"/>
      <c r="B57" s="10"/>
      <c r="C57" s="10"/>
    </row>
    <row r="58" spans="1:3" s="5" customFormat="1" ht="15.75">
      <c r="A58" s="9"/>
      <c r="B58" s="10"/>
      <c r="C58" s="10"/>
    </row>
    <row r="59" spans="1:3" s="5" customFormat="1" ht="15.75">
      <c r="A59" s="9"/>
      <c r="B59" s="13"/>
      <c r="C59" s="13"/>
    </row>
    <row r="60" spans="1:3" s="15" customFormat="1" ht="16.5" customHeight="1">
      <c r="A60" s="239"/>
      <c r="B60" s="239"/>
      <c r="C60" s="124"/>
    </row>
    <row r="61" spans="1:3" ht="15.75">
      <c r="A61" s="9"/>
      <c r="B61" s="12"/>
      <c r="C61" s="12"/>
    </row>
    <row r="62" spans="1:3" ht="15.75">
      <c r="A62" s="9"/>
      <c r="B62" s="12"/>
      <c r="C62" s="12"/>
    </row>
    <row r="63" spans="1:3" ht="15.75">
      <c r="A63" s="9"/>
      <c r="B63" s="12"/>
      <c r="C63" s="12"/>
    </row>
    <row r="64" spans="1:3" ht="15.75">
      <c r="A64" s="9"/>
      <c r="B64" s="12"/>
      <c r="C64" s="12"/>
    </row>
    <row r="65" spans="1:3" ht="18" customHeight="1">
      <c r="A65" s="9"/>
      <c r="B65" s="12"/>
      <c r="C65" s="12"/>
    </row>
    <row r="66" spans="1:3" ht="15.75">
      <c r="A66" s="9"/>
      <c r="B66" s="12"/>
      <c r="C66" s="12"/>
    </row>
    <row r="67" spans="1:3" ht="15.75">
      <c r="A67" s="9"/>
      <c r="B67" s="12"/>
      <c r="C67" s="12"/>
    </row>
    <row r="68" spans="1:3" ht="15.75">
      <c r="A68" s="9"/>
      <c r="B68" s="12"/>
      <c r="C68" s="12"/>
    </row>
    <row r="69" spans="1:3" ht="15.75">
      <c r="A69" s="9"/>
      <c r="B69" s="12"/>
      <c r="C69" s="12"/>
    </row>
    <row r="70" spans="1:3" ht="15.75">
      <c r="A70" s="9"/>
      <c r="B70" s="12"/>
      <c r="C70" s="12"/>
    </row>
    <row r="71" spans="1:3" ht="15.75">
      <c r="A71" s="9"/>
      <c r="B71" s="10"/>
      <c r="C71" s="10"/>
    </row>
    <row r="72" spans="1:3" ht="15.75">
      <c r="A72" s="9"/>
      <c r="B72" s="10"/>
      <c r="C72" s="10"/>
    </row>
    <row r="73" spans="1:3" ht="15.75">
      <c r="A73" s="9"/>
      <c r="B73" s="10"/>
      <c r="C73" s="10"/>
    </row>
    <row r="74" spans="1:3" ht="15.75">
      <c r="A74" s="9"/>
      <c r="B74" s="10"/>
      <c r="C74" s="10"/>
    </row>
    <row r="75" spans="1:3" ht="15.75">
      <c r="A75" s="9"/>
      <c r="B75" s="10"/>
      <c r="C75" s="10"/>
    </row>
    <row r="76" spans="1:3" ht="15.75">
      <c r="A76" s="9"/>
      <c r="B76" s="10"/>
      <c r="C76" s="10"/>
    </row>
    <row r="77" spans="1:3" ht="15.75">
      <c r="A77" s="9"/>
      <c r="B77" s="10"/>
      <c r="C77" s="10"/>
    </row>
    <row r="78" spans="1:3" ht="15.75">
      <c r="A78" s="9"/>
      <c r="B78" s="10"/>
      <c r="C78" s="10"/>
    </row>
    <row r="79" spans="1:3" ht="15.75">
      <c r="A79" s="9"/>
      <c r="B79" s="10"/>
      <c r="C79" s="10"/>
    </row>
    <row r="80" spans="1:3" ht="15.75">
      <c r="A80" s="9"/>
      <c r="B80" s="10"/>
      <c r="C80" s="10"/>
    </row>
    <row r="81" spans="1:3" ht="15.75">
      <c r="A81" s="9"/>
      <c r="B81" s="10"/>
      <c r="C81" s="10"/>
    </row>
    <row r="82" spans="1:3" ht="15.75">
      <c r="A82" s="9"/>
      <c r="B82" s="10"/>
      <c r="C82" s="10"/>
    </row>
    <row r="83" spans="1:3" ht="15.75">
      <c r="A83" s="9"/>
      <c r="B83" s="10"/>
      <c r="C83" s="10"/>
    </row>
    <row r="84" spans="1:3" ht="15.75">
      <c r="A84" s="9"/>
      <c r="B84" s="10"/>
      <c r="C84" s="10"/>
    </row>
    <row r="85" spans="1:3" ht="15.75">
      <c r="A85" s="9"/>
      <c r="B85" s="10"/>
      <c r="C85" s="10"/>
    </row>
    <row r="86" spans="1:3" ht="15.75">
      <c r="A86" s="9"/>
      <c r="B86" s="10"/>
      <c r="C86" s="10"/>
    </row>
    <row r="87" spans="1:3" ht="15.75">
      <c r="A87" s="9"/>
      <c r="B87" s="10"/>
      <c r="C87" s="10"/>
    </row>
    <row r="88" spans="1:3" ht="15.75">
      <c r="A88" s="9"/>
      <c r="B88" s="10"/>
      <c r="C88" s="10"/>
    </row>
    <row r="89" spans="1:3" ht="15.75">
      <c r="A89" s="9"/>
      <c r="B89" s="10"/>
      <c r="C89" s="10"/>
    </row>
    <row r="90" spans="1:3" ht="15.75">
      <c r="A90" s="9"/>
      <c r="B90" s="10"/>
      <c r="C90" s="10"/>
    </row>
    <row r="91" spans="1:3" ht="15.75">
      <c r="A91" s="9"/>
      <c r="B91" s="10"/>
      <c r="C91" s="10"/>
    </row>
    <row r="92" spans="1:3" ht="15.75">
      <c r="A92" s="9"/>
      <c r="B92" s="10"/>
      <c r="C92" s="10"/>
    </row>
    <row r="93" spans="1:3" ht="15.75">
      <c r="A93" s="9"/>
      <c r="B93" s="10"/>
      <c r="C93" s="10"/>
    </row>
    <row r="94" spans="1:3" ht="15.75">
      <c r="A94" s="9"/>
      <c r="B94" s="10"/>
      <c r="C94" s="10"/>
    </row>
    <row r="95" spans="1:3" ht="15.75">
      <c r="A95" s="9"/>
      <c r="B95" s="10"/>
      <c r="C95" s="10"/>
    </row>
    <row r="96" spans="1:3" ht="15.75">
      <c r="A96" s="9"/>
      <c r="B96" s="10"/>
      <c r="C96" s="10"/>
    </row>
    <row r="97" spans="1:3" ht="15.75">
      <c r="A97" s="9"/>
      <c r="B97" s="10"/>
      <c r="C97" s="10"/>
    </row>
    <row r="98" spans="1:3" ht="15.75">
      <c r="A98" s="9"/>
      <c r="B98" s="10"/>
      <c r="C98" s="10"/>
    </row>
    <row r="99" spans="1:3" ht="15.75">
      <c r="A99" s="9"/>
      <c r="B99" s="10"/>
      <c r="C99" s="10"/>
    </row>
    <row r="100" spans="1:3" ht="15.75">
      <c r="A100" s="9"/>
      <c r="B100" s="10"/>
      <c r="C100" s="10"/>
    </row>
    <row r="101" spans="1:3" ht="15.75">
      <c r="A101" s="9"/>
      <c r="B101" s="10"/>
      <c r="C101" s="10"/>
    </row>
    <row r="102" spans="1:3" ht="15.75">
      <c r="A102" s="9"/>
      <c r="B102" s="10"/>
      <c r="C102" s="10"/>
    </row>
    <row r="103" spans="1:3" ht="15.75">
      <c r="A103" s="9"/>
      <c r="B103" s="10"/>
      <c r="C103" s="10"/>
    </row>
    <row r="104" spans="1:3" ht="15.75">
      <c r="A104" s="9"/>
      <c r="B104" s="10"/>
      <c r="C104" s="10"/>
    </row>
    <row r="105" spans="1:3" ht="15.75">
      <c r="A105" s="17"/>
      <c r="B105" s="18"/>
      <c r="C105" s="18"/>
    </row>
    <row r="106" spans="1:3" ht="18.75">
      <c r="A106" s="19"/>
      <c r="B106" s="19"/>
      <c r="C106" s="19"/>
    </row>
    <row r="107" spans="1:3" ht="12.75">
      <c r="A107" s="17"/>
      <c r="B107" s="17"/>
      <c r="C107" s="17"/>
    </row>
  </sheetData>
  <sheetProtection/>
  <mergeCells count="10">
    <mergeCell ref="H2:H5"/>
    <mergeCell ref="A60:B60"/>
    <mergeCell ref="A1:B1"/>
    <mergeCell ref="A2:A5"/>
    <mergeCell ref="B2:B4"/>
    <mergeCell ref="C2:C5"/>
    <mergeCell ref="G2:G5"/>
    <mergeCell ref="F2:F5"/>
    <mergeCell ref="D2:D3"/>
    <mergeCell ref="E2:E5"/>
  </mergeCells>
  <printOptions horizontalCentered="1"/>
  <pageMargins left="0" right="0" top="0.5905511811023623" bottom="0" header="0" footer="0"/>
  <pageSetup horizontalDpi="600" verticalDpi="600" orientation="landscape" paperSize="9" scale="50" r:id="rId1"/>
  <rowBreaks count="1" manualBreakCount="1">
    <brk id="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07"/>
  <sheetViews>
    <sheetView view="pageBreakPreview" zoomScale="73" zoomScaleNormal="79" zoomScaleSheetLayoutView="73" zoomScalePageLayoutView="0" workbookViewId="0" topLeftCell="A1">
      <pane xSplit="2" ySplit="5" topLeftCell="F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" sqref="J1:K16384"/>
    </sheetView>
  </sheetViews>
  <sheetFormatPr defaultColWidth="9.140625" defaultRowHeight="12.75"/>
  <cols>
    <col min="1" max="1" width="9.00390625" style="3" customWidth="1"/>
    <col min="2" max="2" width="36.140625" style="3" customWidth="1"/>
    <col min="3" max="3" width="23.7109375" style="3" customWidth="1"/>
    <col min="4" max="4" width="35.421875" style="16" customWidth="1"/>
    <col min="5" max="5" width="41.140625" style="16" customWidth="1"/>
    <col min="6" max="8" width="19.421875" style="16" customWidth="1"/>
    <col min="9" max="9" width="16.421875" style="16" customWidth="1"/>
    <col min="10" max="16384" width="9.140625" style="16" customWidth="1"/>
  </cols>
  <sheetData>
    <row r="1" spans="1:9" s="5" customFormat="1" ht="18.75" customHeight="1">
      <c r="A1" s="257"/>
      <c r="B1" s="257"/>
      <c r="C1" s="121"/>
      <c r="F1" s="234" t="s">
        <v>85</v>
      </c>
      <c r="G1" s="234"/>
      <c r="H1" s="234"/>
      <c r="I1" s="234"/>
    </row>
    <row r="2" spans="1:9" s="5" customFormat="1" ht="15.75" customHeight="1">
      <c r="A2" s="1"/>
      <c r="B2" s="1"/>
      <c r="C2" s="115"/>
      <c r="F2" s="116"/>
      <c r="G2" s="116"/>
      <c r="H2" s="116"/>
      <c r="I2" s="116"/>
    </row>
    <row r="3" spans="1:9" s="81" customFormat="1" ht="51.75" customHeight="1">
      <c r="A3" s="266" t="s">
        <v>37</v>
      </c>
      <c r="B3" s="237" t="s">
        <v>71</v>
      </c>
      <c r="C3" s="271" t="s">
        <v>79</v>
      </c>
      <c r="D3" s="236" t="s">
        <v>64</v>
      </c>
      <c r="E3" s="236"/>
      <c r="F3" s="243" t="s">
        <v>77</v>
      </c>
      <c r="G3" s="243" t="s">
        <v>78</v>
      </c>
      <c r="H3" s="243" t="s">
        <v>91</v>
      </c>
      <c r="I3" s="261" t="s">
        <v>86</v>
      </c>
    </row>
    <row r="4" spans="1:9" s="81" customFormat="1" ht="102.75" customHeight="1">
      <c r="A4" s="266"/>
      <c r="B4" s="238"/>
      <c r="C4" s="271"/>
      <c r="D4" s="269" t="s">
        <v>65</v>
      </c>
      <c r="E4" s="270"/>
      <c r="F4" s="243"/>
      <c r="G4" s="243"/>
      <c r="H4" s="243"/>
      <c r="I4" s="262"/>
    </row>
    <row r="5" spans="1:9" s="81" customFormat="1" ht="64.5" customHeight="1">
      <c r="A5" s="127"/>
      <c r="B5" s="238"/>
      <c r="C5" s="271"/>
      <c r="D5" s="85" t="s">
        <v>66</v>
      </c>
      <c r="E5" s="85" t="s">
        <v>67</v>
      </c>
      <c r="F5" s="243"/>
      <c r="G5" s="243"/>
      <c r="H5" s="243"/>
      <c r="I5" s="263"/>
    </row>
    <row r="6" spans="1:10" s="5" customFormat="1" ht="15.75">
      <c r="A6" s="22">
        <v>1</v>
      </c>
      <c r="B6" s="23" t="s">
        <v>0</v>
      </c>
      <c r="C6" s="25">
        <v>714</v>
      </c>
      <c r="D6" s="151">
        <v>37</v>
      </c>
      <c r="E6" s="151">
        <v>407</v>
      </c>
      <c r="F6" s="164">
        <v>168</v>
      </c>
      <c r="G6" s="165">
        <f>ROUND(C6/F6,3)</f>
        <v>4.25</v>
      </c>
      <c r="H6" s="217">
        <v>1.03</v>
      </c>
      <c r="I6" s="166">
        <f>ROUND(D6*F6*G6*H6/1000*8/12,1)-1.8+1.3</f>
        <v>17.6</v>
      </c>
      <c r="J6" s="227"/>
    </row>
    <row r="7" spans="1:10" s="5" customFormat="1" ht="15.75">
      <c r="A7" s="25">
        <v>2</v>
      </c>
      <c r="B7" s="23" t="s">
        <v>60</v>
      </c>
      <c r="C7" s="25">
        <v>1250</v>
      </c>
      <c r="D7" s="151">
        <v>38</v>
      </c>
      <c r="E7" s="160">
        <v>733</v>
      </c>
      <c r="F7" s="164">
        <v>169</v>
      </c>
      <c r="G7" s="165">
        <f aca="true" t="shared" si="0" ref="G7:G44">ROUND(C7/F7,3)</f>
        <v>7.396</v>
      </c>
      <c r="H7" s="153">
        <v>1.04</v>
      </c>
      <c r="I7" s="166">
        <f>ROUND(D7*F7*G7*H7/1000*8/12,1)-0.7+1.1</f>
        <v>33.3</v>
      </c>
      <c r="J7" s="227"/>
    </row>
    <row r="8" spans="1:10" s="5" customFormat="1" ht="15.75">
      <c r="A8" s="25">
        <v>3</v>
      </c>
      <c r="B8" s="23" t="s">
        <v>1</v>
      </c>
      <c r="C8" s="25">
        <v>763</v>
      </c>
      <c r="D8" s="151">
        <v>30</v>
      </c>
      <c r="E8" s="151">
        <v>630</v>
      </c>
      <c r="F8" s="164">
        <v>170</v>
      </c>
      <c r="G8" s="165">
        <f t="shared" si="0"/>
        <v>4.488</v>
      </c>
      <c r="H8" s="153">
        <v>1.035</v>
      </c>
      <c r="I8" s="166">
        <f>ROUND(D8*F8*G8*H8/1000*8/12,1)-0.3</f>
        <v>15.5</v>
      </c>
      <c r="J8" s="227"/>
    </row>
    <row r="9" spans="1:10" s="5" customFormat="1" ht="15.75">
      <c r="A9" s="25">
        <v>4</v>
      </c>
      <c r="B9" s="23" t="s">
        <v>2</v>
      </c>
      <c r="C9" s="25">
        <v>618</v>
      </c>
      <c r="D9" s="151">
        <v>57</v>
      </c>
      <c r="E9" s="151">
        <v>446</v>
      </c>
      <c r="F9" s="164">
        <v>171</v>
      </c>
      <c r="G9" s="165">
        <f t="shared" si="0"/>
        <v>3.614</v>
      </c>
      <c r="H9" s="153">
        <v>1.051</v>
      </c>
      <c r="I9" s="166">
        <f>ROUND(D9*F9*G9*H9/1000*8/12,1)+0.6+1.9</f>
        <v>27.2</v>
      </c>
      <c r="J9" s="227"/>
    </row>
    <row r="10" spans="1:10" s="5" customFormat="1" ht="15.75">
      <c r="A10" s="25">
        <v>5</v>
      </c>
      <c r="B10" s="23" t="s">
        <v>59</v>
      </c>
      <c r="C10" s="95">
        <v>808</v>
      </c>
      <c r="D10" s="24">
        <v>25</v>
      </c>
      <c r="E10" s="151">
        <v>150</v>
      </c>
      <c r="F10" s="164">
        <v>172</v>
      </c>
      <c r="G10" s="165">
        <f t="shared" si="0"/>
        <v>4.698</v>
      </c>
      <c r="H10" s="153">
        <v>1.069</v>
      </c>
      <c r="I10" s="166">
        <f>ROUND(D10*F10*G10*H10/1000*8/12,1)+6.8</f>
        <v>21.2</v>
      </c>
      <c r="J10" s="227"/>
    </row>
    <row r="11" spans="1:10" s="5" customFormat="1" ht="15.75">
      <c r="A11" s="25">
        <v>6</v>
      </c>
      <c r="B11" s="23" t="s">
        <v>3</v>
      </c>
      <c r="C11" s="25">
        <v>168</v>
      </c>
      <c r="D11" s="151">
        <v>170</v>
      </c>
      <c r="E11" s="151">
        <v>703</v>
      </c>
      <c r="F11" s="164">
        <v>173</v>
      </c>
      <c r="G11" s="165">
        <f t="shared" si="0"/>
        <v>0.971</v>
      </c>
      <c r="H11" s="153">
        <v>1.034</v>
      </c>
      <c r="I11" s="166">
        <f>ROUND(D11*F11*G11*H11/1000*8/12,1)+0.4-0.9</f>
        <v>19.2</v>
      </c>
      <c r="J11" s="227"/>
    </row>
    <row r="12" spans="1:10" s="5" customFormat="1" ht="15.75" customHeight="1">
      <c r="A12" s="25">
        <v>7</v>
      </c>
      <c r="B12" s="23" t="s">
        <v>4</v>
      </c>
      <c r="C12" s="25">
        <v>716</v>
      </c>
      <c r="D12" s="151">
        <v>45</v>
      </c>
      <c r="E12" s="151">
        <v>700</v>
      </c>
      <c r="F12" s="164">
        <v>174</v>
      </c>
      <c r="G12" s="165">
        <f t="shared" si="0"/>
        <v>4.115</v>
      </c>
      <c r="H12" s="153">
        <v>1.032</v>
      </c>
      <c r="I12" s="166">
        <f>ROUND(D12*F12*G12*H12/1000*8/12,1)+0.3+0.2</f>
        <v>22.7</v>
      </c>
      <c r="J12" s="227"/>
    </row>
    <row r="13" spans="1:11" s="28" customFormat="1" ht="15.75">
      <c r="A13" s="26">
        <v>8</v>
      </c>
      <c r="B13" s="27" t="s">
        <v>5</v>
      </c>
      <c r="C13" s="26">
        <v>2687</v>
      </c>
      <c r="D13" s="151">
        <v>15</v>
      </c>
      <c r="E13" s="151">
        <v>361</v>
      </c>
      <c r="F13" s="164">
        <v>175</v>
      </c>
      <c r="G13" s="165">
        <f t="shared" si="0"/>
        <v>15.354</v>
      </c>
      <c r="H13" s="153">
        <v>1.02</v>
      </c>
      <c r="I13" s="166">
        <f>ROUND(D13*F13*G13*H13/1000*8/12,1)-1.5</f>
        <v>25.9</v>
      </c>
      <c r="J13" s="227"/>
      <c r="K13" s="5"/>
    </row>
    <row r="14" spans="1:10" s="5" customFormat="1" ht="15.75">
      <c r="A14" s="25">
        <v>9</v>
      </c>
      <c r="B14" s="23" t="s">
        <v>6</v>
      </c>
      <c r="C14" s="25">
        <v>840</v>
      </c>
      <c r="D14" s="151">
        <v>15</v>
      </c>
      <c r="E14" s="151">
        <v>37</v>
      </c>
      <c r="F14" s="164">
        <v>176</v>
      </c>
      <c r="G14" s="165">
        <f t="shared" si="0"/>
        <v>4.773</v>
      </c>
      <c r="H14" s="153">
        <v>1.064</v>
      </c>
      <c r="I14" s="166">
        <f>ROUND(D14*F14*G14*H14/1000*8/12,1)+0.3+0.5</f>
        <v>9.700000000000001</v>
      </c>
      <c r="J14" s="227"/>
    </row>
    <row r="15" spans="1:10" s="5" customFormat="1" ht="15.75">
      <c r="A15" s="26">
        <v>10</v>
      </c>
      <c r="B15" s="30" t="s">
        <v>7</v>
      </c>
      <c r="C15" s="29">
        <v>800</v>
      </c>
      <c r="D15" s="151">
        <v>38</v>
      </c>
      <c r="E15" s="151">
        <v>162</v>
      </c>
      <c r="F15" s="164">
        <v>177</v>
      </c>
      <c r="G15" s="165">
        <f t="shared" si="0"/>
        <v>4.52</v>
      </c>
      <c r="H15" s="153">
        <v>1.045</v>
      </c>
      <c r="I15" s="166">
        <f>ROUND(D15*F15*G15*H15/1000*8/12,1)+0.8</f>
        <v>22</v>
      </c>
      <c r="J15" s="227"/>
    </row>
    <row r="16" spans="1:10" s="5" customFormat="1" ht="15.75">
      <c r="A16" s="25">
        <v>11</v>
      </c>
      <c r="B16" s="30" t="s">
        <v>8</v>
      </c>
      <c r="C16" s="29">
        <v>831</v>
      </c>
      <c r="D16" s="151">
        <v>35</v>
      </c>
      <c r="E16" s="151">
        <v>195</v>
      </c>
      <c r="F16" s="164">
        <v>178</v>
      </c>
      <c r="G16" s="165">
        <f t="shared" si="0"/>
        <v>4.669</v>
      </c>
      <c r="H16" s="153">
        <v>1.057</v>
      </c>
      <c r="I16" s="166">
        <f>ROUND(D16*F16*G16*H16/1000*8/12,1)-0.2+2.9</f>
        <v>23.2</v>
      </c>
      <c r="J16" s="227"/>
    </row>
    <row r="17" spans="1:10" s="5" customFormat="1" ht="15.75">
      <c r="A17" s="26">
        <v>12</v>
      </c>
      <c r="B17" s="30" t="s">
        <v>9</v>
      </c>
      <c r="C17" s="29">
        <v>1188</v>
      </c>
      <c r="D17" s="151">
        <v>32</v>
      </c>
      <c r="E17" s="151">
        <v>225</v>
      </c>
      <c r="F17" s="164">
        <v>179</v>
      </c>
      <c r="G17" s="165">
        <f t="shared" si="0"/>
        <v>6.637</v>
      </c>
      <c r="H17" s="153">
        <v>1.054</v>
      </c>
      <c r="I17" s="166">
        <f>ROUND(D17*F17*G17*H17/1000*8/12,1)+0.1+3.3</f>
        <v>30.1</v>
      </c>
      <c r="J17" s="227"/>
    </row>
    <row r="18" spans="1:10" s="5" customFormat="1" ht="15.75">
      <c r="A18" s="25">
        <v>13</v>
      </c>
      <c r="B18" s="30" t="s">
        <v>10</v>
      </c>
      <c r="C18" s="29">
        <v>1567</v>
      </c>
      <c r="D18" s="151">
        <v>30</v>
      </c>
      <c r="E18" s="151">
        <v>350</v>
      </c>
      <c r="F18" s="164">
        <v>180</v>
      </c>
      <c r="G18" s="165">
        <f t="shared" si="0"/>
        <v>8.706</v>
      </c>
      <c r="H18" s="153">
        <v>1.033</v>
      </c>
      <c r="I18" s="166">
        <f>ROUND(D18*F18*G18*H18/1000*8/12,1)+0.9+3.6</f>
        <v>36.9</v>
      </c>
      <c r="J18" s="227"/>
    </row>
    <row r="19" spans="1:10" s="5" customFormat="1" ht="19.5" customHeight="1">
      <c r="A19" s="26">
        <v>14</v>
      </c>
      <c r="B19" s="30" t="s">
        <v>11</v>
      </c>
      <c r="C19" s="29">
        <v>531</v>
      </c>
      <c r="D19" s="151">
        <v>39</v>
      </c>
      <c r="E19" s="151">
        <v>68</v>
      </c>
      <c r="F19" s="164">
        <v>181</v>
      </c>
      <c r="G19" s="165">
        <f t="shared" si="0"/>
        <v>2.934</v>
      </c>
      <c r="H19" s="153">
        <v>1.07</v>
      </c>
      <c r="I19" s="166">
        <f>ROUND(D19*F19*G19*H19/1000*8/12,1)+1</f>
        <v>15.8</v>
      </c>
      <c r="J19" s="227"/>
    </row>
    <row r="20" spans="1:10" s="5" customFormat="1" ht="15.75">
      <c r="A20" s="25">
        <v>15</v>
      </c>
      <c r="B20" s="30" t="s">
        <v>12</v>
      </c>
      <c r="C20" s="29">
        <v>1397</v>
      </c>
      <c r="D20" s="151">
        <v>30</v>
      </c>
      <c r="E20" s="151">
        <v>450</v>
      </c>
      <c r="F20" s="164">
        <v>182</v>
      </c>
      <c r="G20" s="165">
        <f t="shared" si="0"/>
        <v>7.676</v>
      </c>
      <c r="H20" s="153">
        <v>1.033</v>
      </c>
      <c r="I20" s="166">
        <f>ROUND(D20*F20*G20*H20/1000*8/12,1)+1.8</f>
        <v>30.7</v>
      </c>
      <c r="J20" s="227"/>
    </row>
    <row r="21" spans="1:11" s="34" customFormat="1" ht="15.75" customHeight="1">
      <c r="A21" s="26">
        <v>16</v>
      </c>
      <c r="B21" s="32" t="s">
        <v>13</v>
      </c>
      <c r="C21" s="31">
        <v>1320</v>
      </c>
      <c r="D21" s="151">
        <v>30</v>
      </c>
      <c r="E21" s="151">
        <v>150</v>
      </c>
      <c r="F21" s="164">
        <v>183</v>
      </c>
      <c r="G21" s="165">
        <f t="shared" si="0"/>
        <v>7.213</v>
      </c>
      <c r="H21" s="153">
        <v>1.033</v>
      </c>
      <c r="I21" s="166">
        <f>ROUND(D21*F21*G21*H21/1000*8/12,1)-0.9</f>
        <v>26.400000000000002</v>
      </c>
      <c r="J21" s="227"/>
      <c r="K21" s="5"/>
    </row>
    <row r="22" spans="1:11" s="37" customFormat="1" ht="19.5" customHeight="1">
      <c r="A22" s="25">
        <v>17</v>
      </c>
      <c r="B22" s="32" t="s">
        <v>14</v>
      </c>
      <c r="C22" s="31">
        <v>795</v>
      </c>
      <c r="D22" s="157">
        <v>20</v>
      </c>
      <c r="E22" s="157">
        <v>33</v>
      </c>
      <c r="F22" s="164">
        <v>184</v>
      </c>
      <c r="G22" s="165">
        <f t="shared" si="0"/>
        <v>4.321</v>
      </c>
      <c r="H22" s="153">
        <v>1.046</v>
      </c>
      <c r="I22" s="166">
        <f>ROUND(D22*F22*G22*H22/1000*8/12,1)+0.3</f>
        <v>11.4</v>
      </c>
      <c r="J22" s="227"/>
      <c r="K22" s="5"/>
    </row>
    <row r="23" spans="1:10" s="5" customFormat="1" ht="15.75">
      <c r="A23" s="26">
        <v>18</v>
      </c>
      <c r="B23" s="30" t="s">
        <v>15</v>
      </c>
      <c r="C23" s="29">
        <v>513</v>
      </c>
      <c r="D23" s="151">
        <v>30</v>
      </c>
      <c r="E23" s="151">
        <v>70</v>
      </c>
      <c r="F23" s="164">
        <v>185</v>
      </c>
      <c r="G23" s="165">
        <f t="shared" si="0"/>
        <v>2.773</v>
      </c>
      <c r="H23" s="153">
        <v>1.09</v>
      </c>
      <c r="I23" s="166">
        <f>ROUND(D23*F23*G23*H23/1000*8/12,1)+0.2+1.7</f>
        <v>13.099999999999998</v>
      </c>
      <c r="J23" s="227"/>
    </row>
    <row r="24" spans="1:11" s="34" customFormat="1" ht="21" customHeight="1">
      <c r="A24" s="25">
        <v>19</v>
      </c>
      <c r="B24" s="32" t="s">
        <v>16</v>
      </c>
      <c r="C24" s="31">
        <v>1320</v>
      </c>
      <c r="D24" s="151">
        <v>30</v>
      </c>
      <c r="E24" s="151">
        <v>350</v>
      </c>
      <c r="F24" s="164">
        <v>186</v>
      </c>
      <c r="G24" s="165">
        <f t="shared" si="0"/>
        <v>7.097</v>
      </c>
      <c r="H24" s="153">
        <v>1.036</v>
      </c>
      <c r="I24" s="166">
        <f>ROUND(D24*F24*G24*H24/1000*8/12,1)-0.1</f>
        <v>27.299999999999997</v>
      </c>
      <c r="J24" s="227"/>
      <c r="K24" s="5"/>
    </row>
    <row r="25" spans="1:10" s="5" customFormat="1" ht="15.75">
      <c r="A25" s="26">
        <v>20</v>
      </c>
      <c r="B25" s="30" t="s">
        <v>17</v>
      </c>
      <c r="C25" s="29">
        <v>238</v>
      </c>
      <c r="D25" s="151">
        <v>125</v>
      </c>
      <c r="E25" s="151">
        <v>415</v>
      </c>
      <c r="F25" s="164">
        <v>187</v>
      </c>
      <c r="G25" s="165">
        <f t="shared" si="0"/>
        <v>1.273</v>
      </c>
      <c r="H25" s="153">
        <v>1.045</v>
      </c>
      <c r="I25" s="166">
        <f>ROUND(D25*F25*G25*H25/1000*8/12,1)-0.8+0.6</f>
        <v>20.5</v>
      </c>
      <c r="J25" s="227"/>
    </row>
    <row r="26" spans="1:10" s="5" customFormat="1" ht="15.75">
      <c r="A26" s="25">
        <v>21</v>
      </c>
      <c r="B26" s="30" t="s">
        <v>18</v>
      </c>
      <c r="C26" s="29">
        <v>964</v>
      </c>
      <c r="D26" s="151">
        <v>25</v>
      </c>
      <c r="E26" s="151">
        <v>63</v>
      </c>
      <c r="F26" s="164">
        <v>188</v>
      </c>
      <c r="G26" s="165">
        <f t="shared" si="0"/>
        <v>5.128</v>
      </c>
      <c r="H26" s="153">
        <v>1.039</v>
      </c>
      <c r="I26" s="166">
        <f>ROUND(D26*F26*G26*H26/1000*8/12,1)-0.6</f>
        <v>16.099999999999998</v>
      </c>
      <c r="J26" s="227"/>
    </row>
    <row r="27" spans="1:11" s="37" customFormat="1" ht="15" customHeight="1">
      <c r="A27" s="26">
        <v>22</v>
      </c>
      <c r="B27" s="32" t="s">
        <v>19</v>
      </c>
      <c r="C27" s="31">
        <v>1197</v>
      </c>
      <c r="D27" s="157">
        <v>30</v>
      </c>
      <c r="E27" s="157">
        <v>200</v>
      </c>
      <c r="F27" s="164">
        <v>189</v>
      </c>
      <c r="G27" s="165">
        <f t="shared" si="0"/>
        <v>6.333</v>
      </c>
      <c r="H27" s="153">
        <v>1.046</v>
      </c>
      <c r="I27" s="166">
        <f>ROUND(D27*F27*G27*H27/1000*8/12,1)+0.8+1.6</f>
        <v>27.400000000000002</v>
      </c>
      <c r="J27" s="227"/>
      <c r="K27" s="5"/>
    </row>
    <row r="28" spans="1:11" s="34" customFormat="1" ht="18.75" customHeight="1">
      <c r="A28" s="25">
        <v>23</v>
      </c>
      <c r="B28" s="32" t="s">
        <v>20</v>
      </c>
      <c r="C28" s="31">
        <v>1033</v>
      </c>
      <c r="D28" s="151">
        <v>24</v>
      </c>
      <c r="E28" s="151">
        <v>64</v>
      </c>
      <c r="F28" s="164">
        <v>190</v>
      </c>
      <c r="G28" s="165">
        <f t="shared" si="0"/>
        <v>5.437</v>
      </c>
      <c r="H28" s="153">
        <v>1.033</v>
      </c>
      <c r="I28" s="166">
        <f>ROUND(D28*F28*G28*H28/1000*8/12,1)-0.2</f>
        <v>16.900000000000002</v>
      </c>
      <c r="J28" s="227"/>
      <c r="K28" s="5"/>
    </row>
    <row r="29" spans="1:10" s="5" customFormat="1" ht="15.75">
      <c r="A29" s="26">
        <v>24</v>
      </c>
      <c r="B29" s="30" t="s">
        <v>21</v>
      </c>
      <c r="C29" s="29">
        <v>1280</v>
      </c>
      <c r="D29" s="151">
        <v>15</v>
      </c>
      <c r="E29" s="151">
        <v>39</v>
      </c>
      <c r="F29" s="164">
        <v>191</v>
      </c>
      <c r="G29" s="165">
        <f t="shared" si="0"/>
        <v>6.702</v>
      </c>
      <c r="H29" s="153">
        <v>1.057</v>
      </c>
      <c r="I29" s="166">
        <f>ROUND(D29*F29*G29*H29/1000*8/12,1)+0.5+0.4</f>
        <v>14.4</v>
      </c>
      <c r="J29" s="227"/>
    </row>
    <row r="30" spans="1:10" s="5" customFormat="1" ht="15.75">
      <c r="A30" s="25">
        <v>25</v>
      </c>
      <c r="B30" s="30" t="s">
        <v>22</v>
      </c>
      <c r="C30" s="29">
        <v>1853</v>
      </c>
      <c r="D30" s="151">
        <v>15</v>
      </c>
      <c r="E30" s="151">
        <v>40</v>
      </c>
      <c r="F30" s="164">
        <v>192</v>
      </c>
      <c r="G30" s="165">
        <f t="shared" si="0"/>
        <v>9.651</v>
      </c>
      <c r="H30" s="153">
        <v>1.04</v>
      </c>
      <c r="I30" s="166">
        <f>ROUND(D30*F30*G30*H30/1000*8/12,1)+0.7+0.6</f>
        <v>20.6</v>
      </c>
      <c r="J30" s="227"/>
    </row>
    <row r="31" spans="1:10" s="5" customFormat="1" ht="15.75">
      <c r="A31" s="26">
        <v>26</v>
      </c>
      <c r="B31" s="30" t="s">
        <v>23</v>
      </c>
      <c r="C31" s="29">
        <v>843</v>
      </c>
      <c r="D31" s="151">
        <v>40</v>
      </c>
      <c r="E31" s="151">
        <v>110</v>
      </c>
      <c r="F31" s="164">
        <v>193</v>
      </c>
      <c r="G31" s="165">
        <f t="shared" si="0"/>
        <v>4.368</v>
      </c>
      <c r="H31" s="153">
        <v>1.045</v>
      </c>
      <c r="I31" s="166">
        <f>ROUND(D31*F31*G31*H31/1000*8/12,1)+0.7+1.5</f>
        <v>25.7</v>
      </c>
      <c r="J31" s="227"/>
    </row>
    <row r="32" spans="1:10" s="5" customFormat="1" ht="19.5" customHeight="1">
      <c r="A32" s="25">
        <v>27</v>
      </c>
      <c r="B32" s="30" t="s">
        <v>24</v>
      </c>
      <c r="C32" s="29">
        <v>1967</v>
      </c>
      <c r="D32" s="151">
        <v>15</v>
      </c>
      <c r="E32" s="151">
        <v>102</v>
      </c>
      <c r="F32" s="164">
        <v>194</v>
      </c>
      <c r="G32" s="165">
        <f t="shared" si="0"/>
        <v>10.139</v>
      </c>
      <c r="H32" s="153">
        <v>1.045</v>
      </c>
      <c r="I32" s="166">
        <f>ROUND(D32*F32*G32*H32/1000*8/12,1)+0.2+1</f>
        <v>21.8</v>
      </c>
      <c r="J32" s="227"/>
    </row>
    <row r="33" spans="1:10" s="5" customFormat="1" ht="18" customHeight="1">
      <c r="A33" s="26">
        <v>28</v>
      </c>
      <c r="B33" s="30" t="s">
        <v>25</v>
      </c>
      <c r="C33" s="29">
        <v>1793</v>
      </c>
      <c r="D33" s="151">
        <v>15</v>
      </c>
      <c r="E33" s="151">
        <v>53</v>
      </c>
      <c r="F33" s="164">
        <v>195</v>
      </c>
      <c r="G33" s="165">
        <f t="shared" si="0"/>
        <v>9.195</v>
      </c>
      <c r="H33" s="153">
        <v>1.048</v>
      </c>
      <c r="I33" s="166">
        <f>ROUND(D33*F33*G33*H33/1000*8/12,1)+1+0.8</f>
        <v>20.6</v>
      </c>
      <c r="J33" s="227"/>
    </row>
    <row r="34" spans="1:11" s="37" customFormat="1" ht="18.75" customHeight="1">
      <c r="A34" s="25">
        <v>29</v>
      </c>
      <c r="B34" s="32" t="s">
        <v>26</v>
      </c>
      <c r="C34" s="31">
        <v>3860</v>
      </c>
      <c r="D34" s="157">
        <v>15</v>
      </c>
      <c r="E34" s="157">
        <v>86</v>
      </c>
      <c r="F34" s="164">
        <v>196</v>
      </c>
      <c r="G34" s="165">
        <f t="shared" si="0"/>
        <v>19.694</v>
      </c>
      <c r="H34" s="153">
        <v>1.021</v>
      </c>
      <c r="I34" s="166">
        <f>ROUND(D34*F34*G34*H34/1000*8/12,1)+0.3+2.3</f>
        <v>41.99999999999999</v>
      </c>
      <c r="J34" s="227"/>
      <c r="K34" s="5"/>
    </row>
    <row r="35" spans="1:11" s="34" customFormat="1" ht="18" customHeight="1">
      <c r="A35" s="26">
        <v>30</v>
      </c>
      <c r="B35" s="32" t="s">
        <v>27</v>
      </c>
      <c r="C35" s="31">
        <v>1447</v>
      </c>
      <c r="D35" s="151">
        <v>15</v>
      </c>
      <c r="E35" s="151">
        <v>43</v>
      </c>
      <c r="F35" s="164">
        <v>197</v>
      </c>
      <c r="G35" s="165">
        <f t="shared" si="0"/>
        <v>7.345</v>
      </c>
      <c r="H35" s="153">
        <v>1.036</v>
      </c>
      <c r="I35" s="166">
        <f>ROUND(D35*F35*G35*H35/1000*8/12,1)+0.1+0.5</f>
        <v>15.6</v>
      </c>
      <c r="J35" s="227"/>
      <c r="K35" s="5"/>
    </row>
    <row r="36" spans="1:10" s="5" customFormat="1" ht="15.75">
      <c r="A36" s="25">
        <v>31</v>
      </c>
      <c r="B36" s="30" t="s">
        <v>28</v>
      </c>
      <c r="C36" s="29">
        <v>635</v>
      </c>
      <c r="D36" s="151">
        <v>55</v>
      </c>
      <c r="E36" s="151">
        <v>108</v>
      </c>
      <c r="F36" s="164">
        <v>198</v>
      </c>
      <c r="G36" s="165">
        <f t="shared" si="0"/>
        <v>3.207</v>
      </c>
      <c r="H36" s="153">
        <v>1.036</v>
      </c>
      <c r="I36" s="166">
        <f>ROUND(D36*F36*G36*H36/1000*8/12,1)-1</f>
        <v>23.1</v>
      </c>
      <c r="J36" s="227"/>
    </row>
    <row r="37" spans="1:10" s="5" customFormat="1" ht="15.75">
      <c r="A37" s="26">
        <v>32</v>
      </c>
      <c r="B37" s="30" t="s">
        <v>29</v>
      </c>
      <c r="C37" s="29">
        <v>528</v>
      </c>
      <c r="D37" s="151">
        <v>61</v>
      </c>
      <c r="E37" s="151">
        <v>70</v>
      </c>
      <c r="F37" s="164">
        <v>199</v>
      </c>
      <c r="G37" s="165">
        <f t="shared" si="0"/>
        <v>2.653</v>
      </c>
      <c r="H37" s="153">
        <v>1.044</v>
      </c>
      <c r="I37" s="166">
        <f>ROUND(D37*F37*G37*H37/1000*8/12,1)-1+0.2+1.7</f>
        <v>23.299999999999997</v>
      </c>
      <c r="J37" s="227"/>
    </row>
    <row r="38" spans="1:10" s="5" customFormat="1" ht="15.75">
      <c r="A38" s="25">
        <v>33</v>
      </c>
      <c r="B38" s="30" t="s">
        <v>30</v>
      </c>
      <c r="C38" s="29">
        <v>753</v>
      </c>
      <c r="D38" s="151">
        <v>15</v>
      </c>
      <c r="E38" s="151">
        <v>40</v>
      </c>
      <c r="F38" s="164">
        <v>200</v>
      </c>
      <c r="G38" s="165">
        <f t="shared" si="0"/>
        <v>3.765</v>
      </c>
      <c r="H38" s="153">
        <v>1.033</v>
      </c>
      <c r="I38" s="166">
        <f>ROUND(D38*F38*G38*H38/1000*8/12,1)</f>
        <v>7.8</v>
      </c>
      <c r="J38" s="227"/>
    </row>
    <row r="39" spans="1:10" s="5" customFormat="1" ht="15.75">
      <c r="A39" s="26">
        <v>34</v>
      </c>
      <c r="B39" s="30" t="s">
        <v>31</v>
      </c>
      <c r="C39" s="29">
        <v>2259</v>
      </c>
      <c r="D39" s="151">
        <v>17</v>
      </c>
      <c r="E39" s="151">
        <v>185</v>
      </c>
      <c r="F39" s="164">
        <v>201</v>
      </c>
      <c r="G39" s="165">
        <f t="shared" si="0"/>
        <v>11.239</v>
      </c>
      <c r="H39" s="153">
        <v>1.027</v>
      </c>
      <c r="I39" s="166">
        <f>ROUND(D39*F39*G39*H39/1000*8/12,1)+1.6</f>
        <v>27.900000000000002</v>
      </c>
      <c r="J39" s="227"/>
    </row>
    <row r="40" spans="1:11" s="34" customFormat="1" ht="20.25" customHeight="1">
      <c r="A40" s="25">
        <v>35</v>
      </c>
      <c r="B40" s="32" t="s">
        <v>32</v>
      </c>
      <c r="C40" s="31">
        <v>2887</v>
      </c>
      <c r="D40" s="151">
        <v>15</v>
      </c>
      <c r="E40" s="151">
        <v>231</v>
      </c>
      <c r="F40" s="164">
        <v>202</v>
      </c>
      <c r="G40" s="165">
        <f t="shared" si="0"/>
        <v>14.292</v>
      </c>
      <c r="H40" s="153">
        <v>1.029</v>
      </c>
      <c r="I40" s="166">
        <f>ROUND(D40*F40*G40*H40/1000*8/12,1)-1.2</f>
        <v>28.5</v>
      </c>
      <c r="J40" s="227"/>
      <c r="K40" s="5"/>
    </row>
    <row r="41" spans="1:11" s="34" customFormat="1" ht="19.5" customHeight="1">
      <c r="A41" s="26">
        <v>36</v>
      </c>
      <c r="B41" s="32" t="s">
        <v>33</v>
      </c>
      <c r="C41" s="31">
        <v>292</v>
      </c>
      <c r="D41" s="151">
        <v>48</v>
      </c>
      <c r="E41" s="151">
        <v>180</v>
      </c>
      <c r="F41" s="164">
        <v>203</v>
      </c>
      <c r="G41" s="165">
        <f t="shared" si="0"/>
        <v>1.438</v>
      </c>
      <c r="H41" s="153">
        <v>1.089</v>
      </c>
      <c r="I41" s="166">
        <f>ROUND(D41*F41*G41*H41/1000*8/12,1)+0.6</f>
        <v>10.799999999999999</v>
      </c>
      <c r="J41" s="227"/>
      <c r="K41" s="5"/>
    </row>
    <row r="42" spans="1:11" s="34" customFormat="1" ht="21" customHeight="1">
      <c r="A42" s="25">
        <v>37</v>
      </c>
      <c r="B42" s="32" t="s">
        <v>34</v>
      </c>
      <c r="C42" s="31">
        <v>380</v>
      </c>
      <c r="D42" s="151">
        <v>30</v>
      </c>
      <c r="E42" s="151">
        <v>60</v>
      </c>
      <c r="F42" s="164">
        <v>204</v>
      </c>
      <c r="G42" s="165">
        <f t="shared" si="0"/>
        <v>1.863</v>
      </c>
      <c r="H42" s="153">
        <v>1.089</v>
      </c>
      <c r="I42" s="166">
        <f>ROUND(D42*F42*G42*H42/1000*8/12,1)+0.4+0.5</f>
        <v>9.200000000000001</v>
      </c>
      <c r="J42" s="227"/>
      <c r="K42" s="5"/>
    </row>
    <row r="43" spans="1:11" s="34" customFormat="1" ht="15.75">
      <c r="A43" s="26">
        <v>38</v>
      </c>
      <c r="B43" s="32" t="s">
        <v>35</v>
      </c>
      <c r="C43" s="31">
        <v>637</v>
      </c>
      <c r="D43" s="160">
        <v>35</v>
      </c>
      <c r="E43" s="160">
        <v>45</v>
      </c>
      <c r="F43" s="164">
        <v>205</v>
      </c>
      <c r="G43" s="165">
        <f t="shared" si="0"/>
        <v>3.107</v>
      </c>
      <c r="H43" s="153">
        <v>1.065</v>
      </c>
      <c r="I43" s="166">
        <f>ROUND(D43*F43*G43*H43/1000*8/12,1)+1.3</f>
        <v>17.1</v>
      </c>
      <c r="J43" s="227"/>
      <c r="K43" s="5"/>
    </row>
    <row r="44" spans="1:10" s="5" customFormat="1" ht="15.75">
      <c r="A44" s="167">
        <v>39</v>
      </c>
      <c r="B44" s="39" t="s">
        <v>36</v>
      </c>
      <c r="C44" s="117">
        <v>811</v>
      </c>
      <c r="D44" s="163">
        <v>38</v>
      </c>
      <c r="E44" s="163">
        <v>59</v>
      </c>
      <c r="F44" s="168">
        <v>206</v>
      </c>
      <c r="G44" s="169">
        <f t="shared" si="0"/>
        <v>3.937</v>
      </c>
      <c r="H44" s="231">
        <v>1.053</v>
      </c>
      <c r="I44" s="166">
        <f>ROUND(D44*F44*G44*H44/1000*8/12,1)+8.1</f>
        <v>29.700000000000003</v>
      </c>
      <c r="J44" s="227"/>
    </row>
    <row r="45" spans="1:9" s="34" customFormat="1" ht="31.5">
      <c r="A45" s="31"/>
      <c r="B45" s="142" t="s">
        <v>74</v>
      </c>
      <c r="C45" s="108"/>
      <c r="D45" s="75">
        <f>SUM(D6:D44)</f>
        <v>1394</v>
      </c>
      <c r="E45" s="75">
        <f>SUM(E6:E44)</f>
        <v>8413</v>
      </c>
      <c r="F45" s="75"/>
      <c r="G45" s="75"/>
      <c r="H45" s="75"/>
      <c r="I45" s="170">
        <f>SUM(I6:I44)</f>
        <v>848.1999999999999</v>
      </c>
    </row>
    <row r="46" spans="1:3" s="5" customFormat="1" ht="18" customHeight="1">
      <c r="A46" s="141"/>
      <c r="B46" s="57"/>
      <c r="C46" s="57"/>
    </row>
    <row r="47" spans="1:3" s="5" customFormat="1" ht="15.75">
      <c r="A47" s="9"/>
      <c r="B47" s="10"/>
      <c r="C47" s="10"/>
    </row>
    <row r="48" spans="1:3" s="5" customFormat="1" ht="15.75">
      <c r="A48" s="9"/>
      <c r="B48" s="10"/>
      <c r="C48" s="10"/>
    </row>
    <row r="49" spans="1:3" s="5" customFormat="1" ht="15.75">
      <c r="A49" s="9"/>
      <c r="B49" s="10"/>
      <c r="C49" s="10"/>
    </row>
    <row r="50" spans="1:3" s="5" customFormat="1" ht="15.75">
      <c r="A50" s="9"/>
      <c r="B50" s="10"/>
      <c r="C50" s="10"/>
    </row>
    <row r="51" spans="1:3" s="5" customFormat="1" ht="15.75">
      <c r="A51" s="9"/>
      <c r="B51" s="12"/>
      <c r="C51" s="12"/>
    </row>
    <row r="52" spans="1:3" s="5" customFormat="1" ht="15.75">
      <c r="A52" s="9"/>
      <c r="B52" s="12"/>
      <c r="C52" s="12"/>
    </row>
    <row r="53" spans="1:3" s="5" customFormat="1" ht="16.5" customHeight="1">
      <c r="A53" s="9"/>
      <c r="B53" s="10"/>
      <c r="C53" s="10"/>
    </row>
    <row r="54" spans="1:3" s="5" customFormat="1" ht="15.75">
      <c r="A54" s="9"/>
      <c r="B54" s="10"/>
      <c r="C54" s="10"/>
    </row>
    <row r="55" spans="1:3" s="5" customFormat="1" ht="15.75">
      <c r="A55" s="9"/>
      <c r="B55" s="10"/>
      <c r="C55" s="10"/>
    </row>
    <row r="56" spans="1:3" s="5" customFormat="1" ht="15.75">
      <c r="A56" s="9"/>
      <c r="B56" s="10"/>
      <c r="C56" s="10"/>
    </row>
    <row r="57" spans="1:3" s="5" customFormat="1" ht="15.75">
      <c r="A57" s="9"/>
      <c r="B57" s="10"/>
      <c r="C57" s="10"/>
    </row>
    <row r="58" spans="1:3" s="5" customFormat="1" ht="15.75">
      <c r="A58" s="9"/>
      <c r="B58" s="10"/>
      <c r="C58" s="10"/>
    </row>
    <row r="59" spans="1:3" s="5" customFormat="1" ht="15.75">
      <c r="A59" s="9"/>
      <c r="B59" s="13"/>
      <c r="C59" s="13"/>
    </row>
    <row r="60" spans="1:3" s="15" customFormat="1" ht="16.5" customHeight="1">
      <c r="A60" s="239"/>
      <c r="B60" s="239"/>
      <c r="C60" s="124"/>
    </row>
    <row r="61" spans="1:3" ht="15.75">
      <c r="A61" s="9"/>
      <c r="B61" s="12"/>
      <c r="C61" s="12"/>
    </row>
    <row r="62" spans="1:3" ht="15.75">
      <c r="A62" s="9"/>
      <c r="B62" s="12"/>
      <c r="C62" s="12"/>
    </row>
    <row r="63" spans="1:3" ht="15.75">
      <c r="A63" s="9"/>
      <c r="B63" s="12"/>
      <c r="C63" s="12"/>
    </row>
    <row r="64" spans="1:3" ht="15.75">
      <c r="A64" s="9"/>
      <c r="B64" s="12"/>
      <c r="C64" s="12"/>
    </row>
    <row r="65" spans="1:3" ht="18" customHeight="1">
      <c r="A65" s="9"/>
      <c r="B65" s="12"/>
      <c r="C65" s="12"/>
    </row>
    <row r="66" spans="1:3" ht="15.75">
      <c r="A66" s="9"/>
      <c r="B66" s="12"/>
      <c r="C66" s="12"/>
    </row>
    <row r="67" spans="1:3" ht="15.75">
      <c r="A67" s="9"/>
      <c r="B67" s="12"/>
      <c r="C67" s="12"/>
    </row>
    <row r="68" spans="1:3" ht="15.75">
      <c r="A68" s="9"/>
      <c r="B68" s="12"/>
      <c r="C68" s="12"/>
    </row>
    <row r="69" spans="1:3" ht="15.75">
      <c r="A69" s="9"/>
      <c r="B69" s="12"/>
      <c r="C69" s="12"/>
    </row>
    <row r="70" spans="1:3" ht="15.75">
      <c r="A70" s="9"/>
      <c r="B70" s="12"/>
      <c r="C70" s="12"/>
    </row>
    <row r="71" spans="1:3" ht="15.75">
      <c r="A71" s="9"/>
      <c r="B71" s="10"/>
      <c r="C71" s="10"/>
    </row>
    <row r="72" spans="1:3" ht="15.75">
      <c r="A72" s="9"/>
      <c r="B72" s="10"/>
      <c r="C72" s="10"/>
    </row>
    <row r="73" spans="1:3" ht="15.75">
      <c r="A73" s="9"/>
      <c r="B73" s="10"/>
      <c r="C73" s="10"/>
    </row>
    <row r="74" spans="1:3" ht="15.75">
      <c r="A74" s="9"/>
      <c r="B74" s="10"/>
      <c r="C74" s="10"/>
    </row>
    <row r="75" spans="1:3" ht="15.75">
      <c r="A75" s="9"/>
      <c r="B75" s="10"/>
      <c r="C75" s="10"/>
    </row>
    <row r="76" spans="1:3" ht="15.75">
      <c r="A76" s="9"/>
      <c r="B76" s="10"/>
      <c r="C76" s="10"/>
    </row>
    <row r="77" spans="1:3" ht="15.75">
      <c r="A77" s="9"/>
      <c r="B77" s="10"/>
      <c r="C77" s="10"/>
    </row>
    <row r="78" spans="1:3" ht="15.75">
      <c r="A78" s="9"/>
      <c r="B78" s="10"/>
      <c r="C78" s="10"/>
    </row>
    <row r="79" spans="1:3" ht="15.75">
      <c r="A79" s="9"/>
      <c r="B79" s="10"/>
      <c r="C79" s="10"/>
    </row>
    <row r="80" spans="1:3" ht="15.75">
      <c r="A80" s="9"/>
      <c r="B80" s="10"/>
      <c r="C80" s="10"/>
    </row>
    <row r="81" spans="1:3" ht="15.75">
      <c r="A81" s="9"/>
      <c r="B81" s="10"/>
      <c r="C81" s="10"/>
    </row>
    <row r="82" spans="1:3" ht="15.75">
      <c r="A82" s="9"/>
      <c r="B82" s="10"/>
      <c r="C82" s="10"/>
    </row>
    <row r="83" spans="1:3" ht="15.75">
      <c r="A83" s="9"/>
      <c r="B83" s="10"/>
      <c r="C83" s="10"/>
    </row>
    <row r="84" spans="1:3" ht="15.75">
      <c r="A84" s="9"/>
      <c r="B84" s="10"/>
      <c r="C84" s="10"/>
    </row>
    <row r="85" spans="1:3" ht="15.75">
      <c r="A85" s="9"/>
      <c r="B85" s="10"/>
      <c r="C85" s="10"/>
    </row>
    <row r="86" spans="1:3" ht="15.75">
      <c r="A86" s="9"/>
      <c r="B86" s="10"/>
      <c r="C86" s="10"/>
    </row>
    <row r="87" spans="1:3" ht="15.75">
      <c r="A87" s="9"/>
      <c r="B87" s="10"/>
      <c r="C87" s="10"/>
    </row>
    <row r="88" spans="1:3" ht="15.75">
      <c r="A88" s="9"/>
      <c r="B88" s="10"/>
      <c r="C88" s="10"/>
    </row>
    <row r="89" spans="1:3" ht="15.75">
      <c r="A89" s="9"/>
      <c r="B89" s="10"/>
      <c r="C89" s="10"/>
    </row>
    <row r="90" spans="1:3" ht="15.75">
      <c r="A90" s="9"/>
      <c r="B90" s="10"/>
      <c r="C90" s="10"/>
    </row>
    <row r="91" spans="1:3" ht="15.75">
      <c r="A91" s="9"/>
      <c r="B91" s="10"/>
      <c r="C91" s="10"/>
    </row>
    <row r="92" spans="1:3" ht="15.75">
      <c r="A92" s="9"/>
      <c r="B92" s="10"/>
      <c r="C92" s="10"/>
    </row>
    <row r="93" spans="1:3" ht="15.75">
      <c r="A93" s="9"/>
      <c r="B93" s="10"/>
      <c r="C93" s="10"/>
    </row>
    <row r="94" spans="1:3" ht="15.75">
      <c r="A94" s="9"/>
      <c r="B94" s="10"/>
      <c r="C94" s="10"/>
    </row>
    <row r="95" spans="1:3" ht="15.75">
      <c r="A95" s="9"/>
      <c r="B95" s="10"/>
      <c r="C95" s="10"/>
    </row>
    <row r="96" spans="1:3" ht="15.75">
      <c r="A96" s="9"/>
      <c r="B96" s="10"/>
      <c r="C96" s="10"/>
    </row>
    <row r="97" spans="1:3" ht="15.75">
      <c r="A97" s="9"/>
      <c r="B97" s="10"/>
      <c r="C97" s="10"/>
    </row>
    <row r="98" spans="1:3" ht="15.75">
      <c r="A98" s="9"/>
      <c r="B98" s="10"/>
      <c r="C98" s="10"/>
    </row>
    <row r="99" spans="1:3" ht="15.75">
      <c r="A99" s="9"/>
      <c r="B99" s="10"/>
      <c r="C99" s="10"/>
    </row>
    <row r="100" spans="1:3" ht="15.75">
      <c r="A100" s="9"/>
      <c r="B100" s="10"/>
      <c r="C100" s="10"/>
    </row>
    <row r="101" spans="1:3" ht="15.75">
      <c r="A101" s="9"/>
      <c r="B101" s="10"/>
      <c r="C101" s="10"/>
    </row>
    <row r="102" spans="1:3" ht="15.75">
      <c r="A102" s="9"/>
      <c r="B102" s="10"/>
      <c r="C102" s="10"/>
    </row>
    <row r="103" spans="1:3" ht="15.75">
      <c r="A103" s="9"/>
      <c r="B103" s="10"/>
      <c r="C103" s="10"/>
    </row>
    <row r="104" spans="1:3" ht="15.75">
      <c r="A104" s="9"/>
      <c r="B104" s="10"/>
      <c r="C104" s="10"/>
    </row>
    <row r="105" spans="1:3" ht="15.75">
      <c r="A105" s="17"/>
      <c r="B105" s="18"/>
      <c r="C105" s="18"/>
    </row>
    <row r="106" spans="1:3" ht="18.75">
      <c r="A106" s="19"/>
      <c r="B106" s="19"/>
      <c r="C106" s="19"/>
    </row>
    <row r="107" spans="1:3" ht="12.75">
      <c r="A107" s="17"/>
      <c r="B107" s="17"/>
      <c r="C107" s="17"/>
    </row>
  </sheetData>
  <sheetProtection/>
  <mergeCells count="12">
    <mergeCell ref="H3:H5"/>
    <mergeCell ref="F1:I1"/>
    <mergeCell ref="I3:I5"/>
    <mergeCell ref="F3:F5"/>
    <mergeCell ref="C3:C5"/>
    <mergeCell ref="G3:G5"/>
    <mergeCell ref="B3:B5"/>
    <mergeCell ref="A60:B60"/>
    <mergeCell ref="A1:B1"/>
    <mergeCell ref="A3:A4"/>
    <mergeCell ref="D3:E3"/>
    <mergeCell ref="D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6"/>
  <sheetViews>
    <sheetView view="pageBreakPreview" zoomScale="71" zoomScaleNormal="74" zoomScaleSheetLayoutView="7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10" sqref="O10"/>
    </sheetView>
  </sheetViews>
  <sheetFormatPr defaultColWidth="9.140625" defaultRowHeight="12.75"/>
  <cols>
    <col min="1" max="1" width="9.00390625" style="202" customWidth="1"/>
    <col min="2" max="2" width="36.140625" style="202" customWidth="1"/>
    <col min="3" max="3" width="31.57421875" style="202" customWidth="1"/>
    <col min="4" max="4" width="36.140625" style="202" customWidth="1"/>
    <col min="5" max="5" width="29.00390625" style="197" customWidth="1"/>
    <col min="6" max="7" width="25.7109375" style="198" customWidth="1"/>
    <col min="8" max="8" width="21.00390625" style="198" customWidth="1"/>
    <col min="9" max="9" width="17.8515625" style="198" customWidth="1"/>
    <col min="10" max="10" width="24.57421875" style="198" customWidth="1"/>
    <col min="11" max="13" width="19.57421875" style="198" customWidth="1"/>
    <col min="14" max="14" width="14.7109375" style="197" customWidth="1"/>
    <col min="15" max="15" width="17.00390625" style="197" customWidth="1"/>
    <col min="16" max="16384" width="9.140625" style="197" customWidth="1"/>
  </cols>
  <sheetData>
    <row r="1" spans="1:13" s="171" customFormat="1" ht="18.75">
      <c r="A1" s="274"/>
      <c r="B1" s="274"/>
      <c r="C1" s="210"/>
      <c r="D1" s="210"/>
      <c r="E1" s="278" t="s">
        <v>93</v>
      </c>
      <c r="F1" s="278"/>
      <c r="G1" s="278"/>
      <c r="H1" s="278"/>
      <c r="I1" s="172"/>
      <c r="J1" s="172"/>
      <c r="K1" s="172"/>
      <c r="L1" s="172"/>
      <c r="M1" s="172"/>
    </row>
    <row r="2" spans="1:13" s="171" customFormat="1" ht="15.75" customHeight="1">
      <c r="A2" s="173"/>
      <c r="B2" s="174"/>
      <c r="C2" s="174"/>
      <c r="D2" s="174"/>
      <c r="F2" s="172"/>
      <c r="G2" s="172"/>
      <c r="H2" s="172"/>
      <c r="I2" s="172"/>
      <c r="J2" s="172"/>
      <c r="K2" s="172"/>
      <c r="L2" s="172"/>
      <c r="M2" s="172"/>
    </row>
    <row r="3" spans="1:15" s="175" customFormat="1" ht="51.75" customHeight="1">
      <c r="A3" s="275" t="s">
        <v>37</v>
      </c>
      <c r="B3" s="277" t="s">
        <v>71</v>
      </c>
      <c r="C3" s="272" t="s">
        <v>87</v>
      </c>
      <c r="D3" s="272" t="s">
        <v>88</v>
      </c>
      <c r="E3" s="272" t="s">
        <v>89</v>
      </c>
      <c r="F3" s="272" t="s">
        <v>90</v>
      </c>
      <c r="G3" s="272" t="s">
        <v>94</v>
      </c>
      <c r="H3" s="272" t="s">
        <v>95</v>
      </c>
      <c r="I3" s="279"/>
      <c r="J3" s="213"/>
      <c r="K3" s="279"/>
      <c r="L3" s="221"/>
      <c r="M3" s="221"/>
      <c r="N3" s="279"/>
      <c r="O3" s="279"/>
    </row>
    <row r="4" spans="1:15" s="175" customFormat="1" ht="142.5" customHeight="1">
      <c r="A4" s="276"/>
      <c r="B4" s="277"/>
      <c r="C4" s="272"/>
      <c r="D4" s="272"/>
      <c r="E4" s="272"/>
      <c r="F4" s="272"/>
      <c r="G4" s="272"/>
      <c r="H4" s="272"/>
      <c r="I4" s="280"/>
      <c r="J4" s="218"/>
      <c r="K4" s="280"/>
      <c r="L4" s="222"/>
      <c r="M4" s="222"/>
      <c r="N4" s="280"/>
      <c r="O4" s="280"/>
    </row>
    <row r="5" spans="1:18" s="171" customFormat="1" ht="15.75">
      <c r="A5" s="176">
        <v>1</v>
      </c>
      <c r="B5" s="177" t="s">
        <v>0</v>
      </c>
      <c r="C5" s="223">
        <f>'[1]Свод в приказ'!$E5</f>
        <v>2613.1000000000004</v>
      </c>
      <c r="D5" s="223">
        <f>'[2]Свод в приказ'!$C5</f>
        <v>879.8999999999999</v>
      </c>
      <c r="E5" s="178">
        <f>'Школы-началка'!X8+'Школы-основная'!Z8+'Школы-средняя'!V8+Допобразование!M7+Коррекция!H7+ППК!H6+Работы!I6</f>
        <v>1812.3999999999996</v>
      </c>
      <c r="F5" s="179">
        <f>E5+D5-C5</f>
        <v>79.19999999999891</v>
      </c>
      <c r="G5" s="179">
        <f>D5+E5</f>
        <v>2692.2999999999993</v>
      </c>
      <c r="H5" s="216">
        <v>36.9</v>
      </c>
      <c r="I5" s="225"/>
      <c r="J5" s="179"/>
      <c r="K5" s="179"/>
      <c r="L5" s="179"/>
      <c r="M5" s="218"/>
      <c r="N5" s="179"/>
      <c r="O5" s="179"/>
      <c r="R5" s="232"/>
    </row>
    <row r="6" spans="1:18" s="171" customFormat="1" ht="15.75">
      <c r="A6" s="180">
        <v>2</v>
      </c>
      <c r="B6" s="177" t="s">
        <v>60</v>
      </c>
      <c r="C6" s="223">
        <f>'[1]Свод в приказ'!$E6</f>
        <v>4745.500000000001</v>
      </c>
      <c r="D6" s="223">
        <f>'[2]Свод в приказ'!$C6</f>
        <v>1582.1999999999996</v>
      </c>
      <c r="E6" s="178">
        <f>'Школы-началка'!X9+'Школы-основная'!Z9+'Школы-средняя'!V9+Допобразование!M8+Коррекция!H8+ППК!H7+Работы!I7</f>
        <v>3293.100000000001</v>
      </c>
      <c r="F6" s="179">
        <f aca="true" t="shared" si="0" ref="F6:F43">E6+D6-C6</f>
        <v>129.79999999999927</v>
      </c>
      <c r="G6" s="179">
        <f aca="true" t="shared" si="1" ref="G6:G43">D6+E6</f>
        <v>4875.3</v>
      </c>
      <c r="H6" s="216">
        <v>34.6</v>
      </c>
      <c r="I6" s="225"/>
      <c r="J6" s="179"/>
      <c r="K6" s="179"/>
      <c r="L6" s="179"/>
      <c r="M6" s="218"/>
      <c r="N6" s="179"/>
      <c r="O6" s="179"/>
      <c r="R6" s="232"/>
    </row>
    <row r="7" spans="1:18" s="171" customFormat="1" ht="15.75">
      <c r="A7" s="180">
        <v>3</v>
      </c>
      <c r="B7" s="177" t="s">
        <v>1</v>
      </c>
      <c r="C7" s="223">
        <f>'[1]Свод в приказ'!$E7</f>
        <v>2287.1000000000004</v>
      </c>
      <c r="D7" s="223">
        <f>'[2]Свод в приказ'!$C7</f>
        <v>762.3000000000002</v>
      </c>
      <c r="E7" s="178">
        <f>'Школы-началка'!X10+'Школы-основная'!Z10+'Школы-средняя'!V10+Допобразование!M9+Коррекция!H9+ППК!H8+Работы!I8</f>
        <v>1577.6999999999996</v>
      </c>
      <c r="F7" s="179">
        <f t="shared" si="0"/>
        <v>52.899999999999636</v>
      </c>
      <c r="G7" s="179">
        <f t="shared" si="1"/>
        <v>2340</v>
      </c>
      <c r="H7" s="216"/>
      <c r="I7" s="225"/>
      <c r="J7" s="179"/>
      <c r="K7" s="179"/>
      <c r="L7" s="179"/>
      <c r="M7" s="218"/>
      <c r="N7" s="179"/>
      <c r="O7" s="179"/>
      <c r="R7" s="232"/>
    </row>
    <row r="8" spans="1:18" s="171" customFormat="1" ht="15.75">
      <c r="A8" s="180">
        <v>4</v>
      </c>
      <c r="B8" s="177" t="s">
        <v>2</v>
      </c>
      <c r="C8" s="223">
        <f>'[1]Свод в приказ'!$E8</f>
        <v>3519.3999999999987</v>
      </c>
      <c r="D8" s="223">
        <f>'[2]Свод в приказ'!$C8</f>
        <v>1172.8000000000002</v>
      </c>
      <c r="E8" s="178">
        <f>'Школы-началка'!X11+'Школы-основная'!Z11+'Школы-средняя'!V11+Допобразование!M10+Коррекция!H10+ППК!H9+Работы!I9</f>
        <v>2467.8999999999996</v>
      </c>
      <c r="F8" s="179">
        <f t="shared" si="0"/>
        <v>121.30000000000109</v>
      </c>
      <c r="G8" s="179">
        <f t="shared" si="1"/>
        <v>3640.7</v>
      </c>
      <c r="H8" s="216">
        <v>65.2</v>
      </c>
      <c r="I8" s="225"/>
      <c r="J8" s="179"/>
      <c r="K8" s="179"/>
      <c r="L8" s="179"/>
      <c r="M8" s="218"/>
      <c r="N8" s="179"/>
      <c r="O8" s="179"/>
      <c r="R8" s="232"/>
    </row>
    <row r="9" spans="1:18" s="171" customFormat="1" ht="15.75">
      <c r="A9" s="180">
        <v>5</v>
      </c>
      <c r="B9" s="177" t="s">
        <v>59</v>
      </c>
      <c r="C9" s="223">
        <f>'[1]Свод в приказ'!$E9</f>
        <v>2024.4</v>
      </c>
      <c r="D9" s="223">
        <f>'[2]Свод в приказ'!$C9+256.3+256.3</f>
        <v>674.5999999999999</v>
      </c>
      <c r="E9" s="178">
        <f>'Школы-началка'!X12+'Школы-основная'!Z12+'Школы-средняя'!V12+Допобразование!M11+Коррекция!H11+ППК!H10+Работы!I10+534.2+534.9</f>
        <v>1422.6</v>
      </c>
      <c r="F9" s="179">
        <f t="shared" si="0"/>
        <v>72.79999999999973</v>
      </c>
      <c r="G9" s="179">
        <f t="shared" si="1"/>
        <v>2097.2</v>
      </c>
      <c r="H9" s="216">
        <v>17.2</v>
      </c>
      <c r="I9" s="225"/>
      <c r="J9" s="179"/>
      <c r="K9" s="179"/>
      <c r="L9" s="179"/>
      <c r="M9" s="218"/>
      <c r="N9" s="179"/>
      <c r="O9" s="179"/>
      <c r="R9" s="232"/>
    </row>
    <row r="10" spans="1:18" s="171" customFormat="1" ht="15.75">
      <c r="A10" s="180">
        <v>6</v>
      </c>
      <c r="B10" s="177" t="s">
        <v>3</v>
      </c>
      <c r="C10" s="223">
        <f>'[1]Свод в приказ'!$E10</f>
        <v>2849.5</v>
      </c>
      <c r="D10" s="223">
        <f>'[2]Свод в приказ'!$C10</f>
        <v>949.0999999999998</v>
      </c>
      <c r="E10" s="178">
        <f>'Школы-началка'!X13+'Школы-основная'!Z13+'Школы-средняя'!V13+Допобразование!M12+Коррекция!H12+ППК!H11+Работы!I11</f>
        <v>1964.3</v>
      </c>
      <c r="F10" s="179">
        <f t="shared" si="0"/>
        <v>63.899999999999636</v>
      </c>
      <c r="G10" s="179">
        <f t="shared" si="1"/>
        <v>2913.3999999999996</v>
      </c>
      <c r="H10" s="216">
        <v>11</v>
      </c>
      <c r="I10" s="225"/>
      <c r="J10" s="179"/>
      <c r="K10" s="179"/>
      <c r="L10" s="179"/>
      <c r="M10" s="218"/>
      <c r="N10" s="179"/>
      <c r="O10" s="179"/>
      <c r="R10" s="232"/>
    </row>
    <row r="11" spans="1:18" s="171" customFormat="1" ht="15.75" customHeight="1">
      <c r="A11" s="180">
        <v>7</v>
      </c>
      <c r="B11" s="177" t="s">
        <v>4</v>
      </c>
      <c r="C11" s="223">
        <f>'[1]Свод в приказ'!$E11</f>
        <v>3215.899999999999</v>
      </c>
      <c r="D11" s="223">
        <f>'[2]Свод в приказ'!$C11</f>
        <v>1072</v>
      </c>
      <c r="E11" s="178">
        <f>'Школы-началка'!X14+'Школы-основная'!Z14+'Школы-средняя'!V14+Допобразование!M13+Коррекция!H13+ППК!H12+Работы!I12</f>
        <v>2214.0999999999995</v>
      </c>
      <c r="F11" s="179">
        <f t="shared" si="0"/>
        <v>70.20000000000027</v>
      </c>
      <c r="G11" s="179">
        <f t="shared" si="1"/>
        <v>3286.0999999999995</v>
      </c>
      <c r="H11" s="216">
        <v>24.6</v>
      </c>
      <c r="I11" s="225"/>
      <c r="J11" s="179"/>
      <c r="K11" s="179"/>
      <c r="L11" s="179"/>
      <c r="M11" s="218"/>
      <c r="N11" s="179"/>
      <c r="O11" s="179"/>
      <c r="R11" s="232"/>
    </row>
    <row r="12" spans="1:18" s="183" customFormat="1" ht="15.75">
      <c r="A12" s="181">
        <v>8</v>
      </c>
      <c r="B12" s="182" t="s">
        <v>5</v>
      </c>
      <c r="C12" s="223">
        <f>'[1]Свод в приказ'!$E12</f>
        <v>4031.0000000000005</v>
      </c>
      <c r="D12" s="223">
        <f>'[2]Свод в приказ'!$C12</f>
        <v>1343.8000000000002</v>
      </c>
      <c r="E12" s="178">
        <f>'Школы-началка'!X15+'Школы-основная'!Z15+'Школы-средняя'!V15+Допобразование!M14+Коррекция!H14+ППК!H13+Работы!I13</f>
        <v>2740.1</v>
      </c>
      <c r="F12" s="179">
        <f t="shared" si="0"/>
        <v>52.899999999999636</v>
      </c>
      <c r="G12" s="179">
        <f t="shared" si="1"/>
        <v>4083.9</v>
      </c>
      <c r="H12" s="216"/>
      <c r="I12" s="225"/>
      <c r="J12" s="179"/>
      <c r="K12" s="179"/>
      <c r="L12" s="179"/>
      <c r="M12" s="218"/>
      <c r="N12" s="214"/>
      <c r="O12" s="179"/>
      <c r="R12" s="232"/>
    </row>
    <row r="13" spans="1:18" s="171" customFormat="1" ht="15.75">
      <c r="A13" s="180">
        <v>9</v>
      </c>
      <c r="B13" s="177" t="s">
        <v>6</v>
      </c>
      <c r="C13" s="223">
        <f>'[1]Свод в приказ'!$E13</f>
        <v>1258.3999999999996</v>
      </c>
      <c r="D13" s="223">
        <f>'[2]Свод в приказ'!$C13</f>
        <v>419.5</v>
      </c>
      <c r="E13" s="178">
        <f>'Школы-началка'!X16+'Школы-основная'!Z16+'Школы-средняя'!V16+Допобразование!M15+Коррекция!H15+ППК!H14+Работы!I14</f>
        <v>893.4</v>
      </c>
      <c r="F13" s="179">
        <f t="shared" si="0"/>
        <v>54.500000000000455</v>
      </c>
      <c r="G13" s="179">
        <f t="shared" si="1"/>
        <v>1312.9</v>
      </c>
      <c r="H13" s="216">
        <v>5.5</v>
      </c>
      <c r="I13" s="225"/>
      <c r="J13" s="179"/>
      <c r="K13" s="179"/>
      <c r="L13" s="179"/>
      <c r="M13" s="218"/>
      <c r="N13" s="179"/>
      <c r="O13" s="179"/>
      <c r="R13" s="232"/>
    </row>
    <row r="14" spans="1:18" s="171" customFormat="1" ht="15.75">
      <c r="A14" s="181">
        <v>10</v>
      </c>
      <c r="B14" s="184" t="s">
        <v>7</v>
      </c>
      <c r="C14" s="223">
        <f>'[1]Свод в приказ'!$E14</f>
        <v>3040.0000000000005</v>
      </c>
      <c r="D14" s="223">
        <f>'[2]Свод в приказ'!$C14</f>
        <v>1013.1000000000001</v>
      </c>
      <c r="E14" s="178">
        <f>'Школы-началка'!X17+'Школы-основная'!Z17+'Школы-средняя'!V17+Допобразование!M16+Коррекция!H16+ППК!H15+Работы!I15</f>
        <v>2118.5999999999995</v>
      </c>
      <c r="F14" s="179">
        <f t="shared" si="0"/>
        <v>91.69999999999936</v>
      </c>
      <c r="G14" s="179">
        <f t="shared" si="1"/>
        <v>3131.7</v>
      </c>
      <c r="H14" s="216"/>
      <c r="I14" s="225"/>
      <c r="J14" s="179"/>
      <c r="K14" s="179"/>
      <c r="L14" s="179"/>
      <c r="M14" s="218"/>
      <c r="N14" s="179"/>
      <c r="O14" s="179"/>
      <c r="R14" s="232"/>
    </row>
    <row r="15" spans="1:18" s="171" customFormat="1" ht="15.75">
      <c r="A15" s="180">
        <v>11</v>
      </c>
      <c r="B15" s="184" t="s">
        <v>8</v>
      </c>
      <c r="C15" s="223">
        <f>'[1]Свод в приказ'!$E15</f>
        <v>2905.0999999999995</v>
      </c>
      <c r="D15" s="223">
        <f>'[2]Свод в приказ'!$C15</f>
        <v>968.3000000000002</v>
      </c>
      <c r="E15" s="178">
        <f>'Школы-началка'!X18+'Школы-основная'!Z18+'Школы-средняя'!V18+Допобразование!M17+Коррекция!H17+ППК!H16+Работы!I16</f>
        <v>2049.8999999999996</v>
      </c>
      <c r="F15" s="179">
        <f t="shared" si="0"/>
        <v>113.10000000000036</v>
      </c>
      <c r="G15" s="179">
        <f t="shared" si="1"/>
        <v>3018.2</v>
      </c>
      <c r="H15" s="216">
        <v>70.8</v>
      </c>
      <c r="I15" s="225"/>
      <c r="J15" s="179"/>
      <c r="K15" s="179"/>
      <c r="L15" s="179"/>
      <c r="M15" s="218"/>
      <c r="N15" s="179"/>
      <c r="O15" s="179"/>
      <c r="R15" s="232"/>
    </row>
    <row r="16" spans="1:18" s="171" customFormat="1" ht="15.75">
      <c r="A16" s="181">
        <v>12</v>
      </c>
      <c r="B16" s="184" t="s">
        <v>9</v>
      </c>
      <c r="C16" s="223">
        <f>'[1]Свод в приказ'!$E16</f>
        <v>3804.3</v>
      </c>
      <c r="D16" s="223">
        <f>'[2]Свод в приказ'!$C16</f>
        <v>1267.8999999999999</v>
      </c>
      <c r="E16" s="178">
        <f>'Школы-началка'!X19+'Школы-основная'!Z19+'Школы-средняя'!V19+Допобразование!M18+Коррекция!H18+ППК!H17+Работы!I17</f>
        <v>2676.3999999999996</v>
      </c>
      <c r="F16" s="179">
        <f t="shared" si="0"/>
        <v>139.9999999999991</v>
      </c>
      <c r="G16" s="179">
        <f t="shared" si="1"/>
        <v>3944.2999999999993</v>
      </c>
      <c r="H16" s="216">
        <v>92.3</v>
      </c>
      <c r="I16" s="225"/>
      <c r="J16" s="179"/>
      <c r="K16" s="179"/>
      <c r="L16" s="179"/>
      <c r="M16" s="218"/>
      <c r="N16" s="179"/>
      <c r="O16" s="179"/>
      <c r="R16" s="232"/>
    </row>
    <row r="17" spans="1:18" s="171" customFormat="1" ht="15.75">
      <c r="A17" s="180">
        <v>13</v>
      </c>
      <c r="B17" s="184" t="s">
        <v>10</v>
      </c>
      <c r="C17" s="223">
        <f>'[1]Свод в приказ'!$E17</f>
        <v>4704.900000000001</v>
      </c>
      <c r="D17" s="223">
        <f>'[2]Свод в приказ'!$C17</f>
        <v>1568.3</v>
      </c>
      <c r="E17" s="178">
        <f>'Школы-началка'!X20+'Школы-основная'!Z20+'Школы-средняя'!V20+Допобразование!M19+Коррекция!H19+ППК!H18+Работы!I18</f>
        <v>3242.9000000000005</v>
      </c>
      <c r="F17" s="179">
        <f t="shared" si="0"/>
        <v>106.30000000000018</v>
      </c>
      <c r="G17" s="179">
        <f t="shared" si="1"/>
        <v>4811.200000000001</v>
      </c>
      <c r="H17" s="216">
        <v>42.8</v>
      </c>
      <c r="I17" s="225"/>
      <c r="J17" s="179"/>
      <c r="K17" s="179"/>
      <c r="L17" s="179"/>
      <c r="M17" s="218"/>
      <c r="N17" s="179"/>
      <c r="O17" s="179"/>
      <c r="R17" s="232"/>
    </row>
    <row r="18" spans="1:18" s="171" customFormat="1" ht="19.5" customHeight="1">
      <c r="A18" s="181">
        <v>14</v>
      </c>
      <c r="B18" s="184" t="s">
        <v>11</v>
      </c>
      <c r="C18" s="223">
        <f>'[1]Свод в приказ'!$E18</f>
        <v>2070</v>
      </c>
      <c r="D18" s="223">
        <f>'[2]Свод в приказ'!$C18</f>
        <v>689.7999999999998</v>
      </c>
      <c r="E18" s="178">
        <f>'Школы-началка'!X21+'Школы-основная'!Z21+'Школы-средняя'!V21+Допобразование!M20+Коррекция!H20+ППК!H19+Работы!I19</f>
        <v>1478.4</v>
      </c>
      <c r="F18" s="179">
        <f t="shared" si="0"/>
        <v>98.19999999999982</v>
      </c>
      <c r="G18" s="179">
        <f t="shared" si="1"/>
        <v>2168.2</v>
      </c>
      <c r="H18" s="216">
        <v>17.5</v>
      </c>
      <c r="I18" s="225"/>
      <c r="J18" s="179"/>
      <c r="K18" s="179"/>
      <c r="L18" s="179"/>
      <c r="M18" s="218"/>
      <c r="N18" s="179"/>
      <c r="O18" s="179"/>
      <c r="R18" s="232"/>
    </row>
    <row r="19" spans="1:18" s="171" customFormat="1" ht="15.75">
      <c r="A19" s="180">
        <v>15</v>
      </c>
      <c r="B19" s="184" t="s">
        <v>12</v>
      </c>
      <c r="C19" s="223">
        <f>'[1]Свод в приказ'!$E19</f>
        <v>4185.499999999999</v>
      </c>
      <c r="D19" s="223">
        <f>'[2]Свод в приказ'!$C19</f>
        <v>1394.8</v>
      </c>
      <c r="E19" s="178">
        <f>'Школы-началка'!X22+'Школы-основная'!Z22+'Школы-средняя'!V22+Допобразование!M21+Коррекция!H21+ППК!H20+Работы!I20</f>
        <v>2885.1000000000004</v>
      </c>
      <c r="F19" s="179">
        <f t="shared" si="0"/>
        <v>94.40000000000146</v>
      </c>
      <c r="G19" s="179">
        <f t="shared" si="1"/>
        <v>4279.900000000001</v>
      </c>
      <c r="H19" s="216">
        <v>30.9</v>
      </c>
      <c r="I19" s="225"/>
      <c r="J19" s="179"/>
      <c r="K19" s="179"/>
      <c r="L19" s="179"/>
      <c r="M19" s="218"/>
      <c r="N19" s="179"/>
      <c r="O19" s="179"/>
      <c r="R19" s="232"/>
    </row>
    <row r="20" spans="1:18" s="186" customFormat="1" ht="15.75" customHeight="1">
      <c r="A20" s="181">
        <v>16</v>
      </c>
      <c r="B20" s="185" t="s">
        <v>13</v>
      </c>
      <c r="C20" s="223">
        <f>'[1]Свод в приказ'!$E20</f>
        <v>3961.2999999999997</v>
      </c>
      <c r="D20" s="223">
        <f>'[2]Свод в приказ'!$C20</f>
        <v>1320.4999999999998</v>
      </c>
      <c r="E20" s="178">
        <f>'Школы-началка'!X23+'Школы-основная'!Z23+'Школы-средняя'!V23+Допобразование!M22+Коррекция!H22+ППК!H21+Работы!I21</f>
        <v>2727.3</v>
      </c>
      <c r="F20" s="179">
        <f t="shared" si="0"/>
        <v>86.50000000000045</v>
      </c>
      <c r="G20" s="179">
        <f t="shared" si="1"/>
        <v>4047.8</v>
      </c>
      <c r="H20" s="216"/>
      <c r="I20" s="225"/>
      <c r="J20" s="179"/>
      <c r="K20" s="179"/>
      <c r="L20" s="179"/>
      <c r="M20" s="218"/>
      <c r="N20" s="179"/>
      <c r="O20" s="179"/>
      <c r="R20" s="232"/>
    </row>
    <row r="21" spans="1:18" s="187" customFormat="1" ht="19.5" customHeight="1">
      <c r="A21" s="180">
        <v>17</v>
      </c>
      <c r="B21" s="185" t="s">
        <v>14</v>
      </c>
      <c r="C21" s="223">
        <f>'[1]Свод в приказ'!$E21</f>
        <v>1586.4</v>
      </c>
      <c r="D21" s="223">
        <f>'[2]Свод в приказ'!$C21</f>
        <v>528.8999999999999</v>
      </c>
      <c r="E21" s="178">
        <f>'Школы-началка'!X24+'Школы-основная'!Z24+'Школы-средняя'!V24+Допобразование!M23+Коррекция!H23+ППК!H22+Работы!I22</f>
        <v>1106.5</v>
      </c>
      <c r="F21" s="179">
        <f t="shared" si="0"/>
        <v>48.99999999999977</v>
      </c>
      <c r="G21" s="179">
        <f t="shared" si="1"/>
        <v>1635.3999999999999</v>
      </c>
      <c r="H21" s="216"/>
      <c r="I21" s="225"/>
      <c r="J21" s="179"/>
      <c r="K21" s="179"/>
      <c r="L21" s="179"/>
      <c r="M21" s="218"/>
      <c r="N21" s="219"/>
      <c r="O21" s="179"/>
      <c r="R21" s="232"/>
    </row>
    <row r="22" spans="1:18" s="171" customFormat="1" ht="15.75">
      <c r="A22" s="181">
        <v>18</v>
      </c>
      <c r="B22" s="184" t="s">
        <v>15</v>
      </c>
      <c r="C22" s="223">
        <f>'[1]Свод в приказ'!$E22</f>
        <v>1535.2000000000003</v>
      </c>
      <c r="D22" s="223">
        <f>'[2]Свод в приказ'!$C22</f>
        <v>511.6</v>
      </c>
      <c r="E22" s="178">
        <f>'Школы-началка'!X25+'Школы-основная'!Z25+'Школы-средняя'!V25+Допобразование!M24+Коррекция!H24+ППК!H23+Работы!I23</f>
        <v>1117.3999999999999</v>
      </c>
      <c r="F22" s="179">
        <f t="shared" si="0"/>
        <v>93.79999999999973</v>
      </c>
      <c r="G22" s="179">
        <f t="shared" si="1"/>
        <v>1629</v>
      </c>
      <c r="H22" s="216">
        <v>37.4</v>
      </c>
      <c r="I22" s="225"/>
      <c r="J22" s="179"/>
      <c r="K22" s="179"/>
      <c r="L22" s="179"/>
      <c r="M22" s="218"/>
      <c r="N22" s="179"/>
      <c r="O22" s="179"/>
      <c r="R22" s="232"/>
    </row>
    <row r="23" spans="1:18" s="186" customFormat="1" ht="21" customHeight="1">
      <c r="A23" s="180">
        <v>19</v>
      </c>
      <c r="B23" s="185" t="s">
        <v>16</v>
      </c>
      <c r="C23" s="223">
        <f>'[1]Свод в приказ'!$E23</f>
        <v>3962</v>
      </c>
      <c r="D23" s="223">
        <f>'[2]Свод в приказ'!$C23</f>
        <v>1320.7000000000003</v>
      </c>
      <c r="E23" s="178">
        <f>'Школы-началка'!X26+'Школы-основная'!Z26+'Школы-средняя'!V26+Допобразование!M25+Коррекция!H25+ППК!H24+Работы!I24</f>
        <v>2736.5000000000005</v>
      </c>
      <c r="F23" s="179">
        <f t="shared" si="0"/>
        <v>95.20000000000073</v>
      </c>
      <c r="G23" s="179">
        <f t="shared" si="1"/>
        <v>4057.2000000000007</v>
      </c>
      <c r="H23" s="216"/>
      <c r="I23" s="225"/>
      <c r="J23" s="179"/>
      <c r="K23" s="179"/>
      <c r="L23" s="179"/>
      <c r="M23" s="218"/>
      <c r="N23" s="179"/>
      <c r="O23" s="179"/>
      <c r="R23" s="232"/>
    </row>
    <row r="24" spans="1:18" s="171" customFormat="1" ht="15.75">
      <c r="A24" s="181">
        <v>20</v>
      </c>
      <c r="B24" s="184" t="s">
        <v>17</v>
      </c>
      <c r="C24" s="223">
        <f>'[1]Свод в приказ'!$E24</f>
        <v>2966.6</v>
      </c>
      <c r="D24" s="223">
        <f>'[2]Свод в приказ'!$C24</f>
        <v>989.1</v>
      </c>
      <c r="E24" s="178">
        <f>'Школы-началка'!X27+'Школы-основная'!Z27+'Школы-средняя'!V27+Допобразование!M26+Коррекция!H26+ППК!H25+Работы!I25</f>
        <v>2068.3999999999996</v>
      </c>
      <c r="F24" s="179">
        <f t="shared" si="0"/>
        <v>90.89999999999964</v>
      </c>
      <c r="G24" s="179">
        <f t="shared" si="1"/>
        <v>3057.4999999999995</v>
      </c>
      <c r="H24" s="216">
        <v>38</v>
      </c>
      <c r="I24" s="225"/>
      <c r="J24" s="179"/>
      <c r="K24" s="179"/>
      <c r="L24" s="179"/>
      <c r="M24" s="218"/>
      <c r="N24" s="179"/>
      <c r="O24" s="179"/>
      <c r="R24" s="232"/>
    </row>
    <row r="25" spans="1:18" s="171" customFormat="1" ht="15.75">
      <c r="A25" s="180">
        <v>21</v>
      </c>
      <c r="B25" s="184" t="s">
        <v>18</v>
      </c>
      <c r="C25" s="223">
        <f>'[1]Свод в приказ'!$E25</f>
        <v>2412.8999999999996</v>
      </c>
      <c r="D25" s="223">
        <f>'[2]Свод в приказ'!$C25</f>
        <v>804.2</v>
      </c>
      <c r="E25" s="178">
        <f>'Школы-началка'!X28+'Школы-основная'!Z28+'Школы-средняя'!V28+Допобразование!M27+Коррекция!H27+ППК!H26+Работы!I26</f>
        <v>1670.7</v>
      </c>
      <c r="F25" s="179">
        <f t="shared" si="0"/>
        <v>62.000000000000455</v>
      </c>
      <c r="G25" s="179">
        <f t="shared" si="1"/>
        <v>2474.9</v>
      </c>
      <c r="H25" s="216"/>
      <c r="I25" s="225"/>
      <c r="J25" s="179"/>
      <c r="K25" s="179"/>
      <c r="L25" s="179"/>
      <c r="M25" s="218"/>
      <c r="N25" s="179"/>
      <c r="O25" s="179"/>
      <c r="R25" s="232"/>
    </row>
    <row r="26" spans="1:18" s="187" customFormat="1" ht="15" customHeight="1">
      <c r="A26" s="181">
        <v>22</v>
      </c>
      <c r="B26" s="185" t="s">
        <v>19</v>
      </c>
      <c r="C26" s="223">
        <f>'[1]Свод в приказ'!$E26</f>
        <v>3593.5</v>
      </c>
      <c r="D26" s="223">
        <f>'[2]Свод в приказ'!$C26</f>
        <v>1197.6</v>
      </c>
      <c r="E26" s="178">
        <f>'Школы-началка'!X29+'Школы-основная'!Z29+'Школы-средняя'!V29+Допобразование!M28+Коррекция!H28+ППК!H27+Работы!I27</f>
        <v>2509.1</v>
      </c>
      <c r="F26" s="179">
        <f t="shared" si="0"/>
        <v>113.19999999999982</v>
      </c>
      <c r="G26" s="179">
        <f t="shared" si="1"/>
        <v>3706.7</v>
      </c>
      <c r="H26" s="216">
        <v>60.3</v>
      </c>
      <c r="I26" s="225"/>
      <c r="J26" s="179"/>
      <c r="K26" s="179"/>
      <c r="L26" s="179"/>
      <c r="M26" s="218"/>
      <c r="N26" s="219"/>
      <c r="O26" s="179"/>
      <c r="R26" s="232"/>
    </row>
    <row r="27" spans="1:18" s="186" customFormat="1" ht="18.75" customHeight="1">
      <c r="A27" s="180">
        <v>23</v>
      </c>
      <c r="B27" s="185" t="s">
        <v>20</v>
      </c>
      <c r="C27" s="223">
        <f>'[1]Свод в приказ'!$E27</f>
        <v>2479.9000000000005</v>
      </c>
      <c r="D27" s="223">
        <f>'[2]Свод в приказ'!$C27</f>
        <v>826.6</v>
      </c>
      <c r="E27" s="178">
        <f>'Школы-началка'!X30+'Школы-основная'!Z30+'Школы-средняя'!V30+Допобразование!M29+Коррекция!H29+ППК!H28+Работы!I28</f>
        <v>1707.6000000000001</v>
      </c>
      <c r="F27" s="179">
        <f t="shared" si="0"/>
        <v>54.29999999999973</v>
      </c>
      <c r="G27" s="179">
        <f t="shared" si="1"/>
        <v>2534.2000000000003</v>
      </c>
      <c r="H27" s="216"/>
      <c r="I27" s="225"/>
      <c r="J27" s="179"/>
      <c r="K27" s="179"/>
      <c r="L27" s="179"/>
      <c r="M27" s="218"/>
      <c r="N27" s="179"/>
      <c r="O27" s="179"/>
      <c r="R27" s="232"/>
    </row>
    <row r="28" spans="1:18" s="171" customFormat="1" ht="15.75">
      <c r="A28" s="181">
        <v>24</v>
      </c>
      <c r="B28" s="184" t="s">
        <v>21</v>
      </c>
      <c r="C28" s="223">
        <f>'[1]Свод в приказ'!$E28</f>
        <v>1917.6000000000001</v>
      </c>
      <c r="D28" s="223">
        <f>'[2]Свод в приказ'!$C28</f>
        <v>639.0999999999999</v>
      </c>
      <c r="E28" s="178">
        <f>'Школы-началка'!X31+'Школы-основная'!Z31+'Школы-средняя'!V31+Допобразование!M30+Коррекция!H30+ППК!H29+Работы!I29</f>
        <v>1352.6000000000001</v>
      </c>
      <c r="F28" s="179">
        <f t="shared" si="0"/>
        <v>74.09999999999991</v>
      </c>
      <c r="G28" s="179">
        <f t="shared" si="1"/>
        <v>1991.7</v>
      </c>
      <c r="H28" s="216">
        <v>12.4</v>
      </c>
      <c r="I28" s="225"/>
      <c r="J28" s="179"/>
      <c r="K28" s="179"/>
      <c r="L28" s="179"/>
      <c r="M28" s="218"/>
      <c r="N28" s="179"/>
      <c r="O28" s="179"/>
      <c r="R28" s="232"/>
    </row>
    <row r="29" spans="1:18" s="171" customFormat="1" ht="15.75">
      <c r="A29" s="180">
        <v>25</v>
      </c>
      <c r="B29" s="184" t="s">
        <v>22</v>
      </c>
      <c r="C29" s="223">
        <f>'[1]Свод в приказ'!$E29</f>
        <v>2778.3</v>
      </c>
      <c r="D29" s="223">
        <f>'[2]Свод в приказ'!$C29</f>
        <v>925.9999999999999</v>
      </c>
      <c r="E29" s="178">
        <f>'Школы-началка'!X32+'Школы-основная'!Z32+'Школы-средняя'!V32+Допобразование!M31+Коррекция!H31+ППК!H30+Работы!I30</f>
        <v>1928.7</v>
      </c>
      <c r="F29" s="179">
        <f t="shared" si="0"/>
        <v>76.39999999999964</v>
      </c>
      <c r="G29" s="179">
        <f t="shared" si="1"/>
        <v>2854.7</v>
      </c>
      <c r="H29" s="216">
        <v>22.1</v>
      </c>
      <c r="I29" s="225"/>
      <c r="J29" s="179"/>
      <c r="K29" s="179"/>
      <c r="L29" s="179"/>
      <c r="M29" s="218"/>
      <c r="N29" s="179"/>
      <c r="O29" s="179"/>
      <c r="R29" s="232"/>
    </row>
    <row r="30" spans="1:18" s="171" customFormat="1" ht="15.75">
      <c r="A30" s="181">
        <v>26</v>
      </c>
      <c r="B30" s="184" t="s">
        <v>23</v>
      </c>
      <c r="C30" s="223">
        <f>'[1]Свод в приказ'!$E30</f>
        <v>3374</v>
      </c>
      <c r="D30" s="223">
        <f>'[2]Свод в приказ'!$C30</f>
        <v>1124.4000000000003</v>
      </c>
      <c r="E30" s="178">
        <f>'Школы-началка'!X33+'Школы-основная'!Z33+'Школы-средняя'!V33+Допобразование!M32+Коррекция!H32+ППК!H31+Работы!I31</f>
        <v>2353.5</v>
      </c>
      <c r="F30" s="179">
        <f t="shared" si="0"/>
        <v>103.90000000000055</v>
      </c>
      <c r="G30" s="179">
        <f t="shared" si="1"/>
        <v>3477.9000000000005</v>
      </c>
      <c r="H30" s="216">
        <v>31.6</v>
      </c>
      <c r="I30" s="225"/>
      <c r="J30" s="179"/>
      <c r="K30" s="179"/>
      <c r="L30" s="179"/>
      <c r="M30" s="218"/>
      <c r="N30" s="179"/>
      <c r="O30" s="179"/>
      <c r="R30" s="232"/>
    </row>
    <row r="31" spans="1:18" s="171" customFormat="1" ht="19.5" customHeight="1">
      <c r="A31" s="180">
        <v>27</v>
      </c>
      <c r="B31" s="184" t="s">
        <v>24</v>
      </c>
      <c r="C31" s="223">
        <f>'[1]Свод в приказ'!$E31</f>
        <v>2950.2</v>
      </c>
      <c r="D31" s="223">
        <f>'[2]Свод в приказ'!$C31</f>
        <v>983.2999999999998</v>
      </c>
      <c r="E31" s="178">
        <f>'Школы-началка'!X34+'Школы-основная'!Z34+'Школы-средняя'!V34+Допобразование!M33+Коррекция!H33+ППК!H32+Работы!I32</f>
        <v>2056.5</v>
      </c>
      <c r="F31" s="179">
        <f t="shared" si="0"/>
        <v>89.59999999999991</v>
      </c>
      <c r="G31" s="179">
        <f t="shared" si="1"/>
        <v>3039.7999999999997</v>
      </c>
      <c r="H31" s="216">
        <v>3.1</v>
      </c>
      <c r="I31" s="225"/>
      <c r="J31" s="179"/>
      <c r="K31" s="179"/>
      <c r="L31" s="179"/>
      <c r="M31" s="218"/>
      <c r="N31" s="179"/>
      <c r="O31" s="179"/>
      <c r="R31" s="232"/>
    </row>
    <row r="32" spans="1:18" s="171" customFormat="1" ht="18" customHeight="1">
      <c r="A32" s="181">
        <v>28</v>
      </c>
      <c r="B32" s="184" t="s">
        <v>25</v>
      </c>
      <c r="C32" s="223">
        <f>'[1]Свод в приказ'!$E32</f>
        <v>2691.5</v>
      </c>
      <c r="D32" s="223">
        <f>'[2]Свод в приказ'!$C32</f>
        <v>897.0999999999999</v>
      </c>
      <c r="E32" s="178">
        <f>'Школы-началка'!X35+'Школы-основная'!Z35+'Школы-средняя'!V35+Допобразование!M34+Коррекция!H34+ППК!H33+Работы!I33</f>
        <v>1882.8</v>
      </c>
      <c r="F32" s="179">
        <f t="shared" si="0"/>
        <v>88.39999999999964</v>
      </c>
      <c r="G32" s="179">
        <f t="shared" si="1"/>
        <v>2779.8999999999996</v>
      </c>
      <c r="H32" s="216">
        <v>32</v>
      </c>
      <c r="I32" s="225"/>
      <c r="J32" s="179"/>
      <c r="K32" s="179"/>
      <c r="L32" s="179"/>
      <c r="M32" s="218"/>
      <c r="N32" s="179"/>
      <c r="O32" s="179"/>
      <c r="R32" s="232"/>
    </row>
    <row r="33" spans="1:18" s="187" customFormat="1" ht="18.75" customHeight="1">
      <c r="A33" s="180">
        <v>29</v>
      </c>
      <c r="B33" s="185" t="s">
        <v>26</v>
      </c>
      <c r="C33" s="223">
        <f>'[1]Свод в приказ'!$E33</f>
        <v>5791.699999999999</v>
      </c>
      <c r="D33" s="223">
        <f>'[2]Свод в приказ'!$C33</f>
        <v>1930.6</v>
      </c>
      <c r="E33" s="178">
        <f>'Школы-началка'!X36+'Школы-основная'!Z36+'Школы-средняя'!V36+Допобразование!M35+Коррекция!H35+ППК!H34+Работы!I34</f>
        <v>3944.7000000000003</v>
      </c>
      <c r="F33" s="179">
        <f t="shared" si="0"/>
        <v>83.60000000000127</v>
      </c>
      <c r="G33" s="179">
        <f t="shared" si="1"/>
        <v>5875.3</v>
      </c>
      <c r="H33" s="216">
        <v>25.4</v>
      </c>
      <c r="I33" s="225"/>
      <c r="J33" s="179"/>
      <c r="K33" s="179"/>
      <c r="L33" s="179"/>
      <c r="M33" s="218"/>
      <c r="N33" s="219"/>
      <c r="O33" s="179"/>
      <c r="R33" s="232"/>
    </row>
    <row r="34" spans="1:18" s="171" customFormat="1" ht="16.5" customHeight="1">
      <c r="A34" s="181">
        <v>30</v>
      </c>
      <c r="B34" s="184" t="s">
        <v>27</v>
      </c>
      <c r="C34" s="223">
        <f>'[1]Свод в приказ'!$E34</f>
        <v>2165.7999999999993</v>
      </c>
      <c r="D34" s="223">
        <f>'[2]Свод в приказ'!$C34</f>
        <v>721.8000000000002</v>
      </c>
      <c r="E34" s="178">
        <f>'Школы-началка'!X37+'Школы-основная'!Z37+'Школы-средняя'!V37+Допобразование!M36+Коррекция!H36+ППК!H35+Работы!I35</f>
        <v>1496.3</v>
      </c>
      <c r="F34" s="179">
        <f t="shared" si="0"/>
        <v>52.30000000000109</v>
      </c>
      <c r="G34" s="179">
        <f t="shared" si="1"/>
        <v>2218.1000000000004</v>
      </c>
      <c r="H34" s="216">
        <v>3.3</v>
      </c>
      <c r="I34" s="225"/>
      <c r="J34" s="179"/>
      <c r="K34" s="179"/>
      <c r="L34" s="179"/>
      <c r="M34" s="218"/>
      <c r="N34" s="179"/>
      <c r="O34" s="179"/>
      <c r="R34" s="232"/>
    </row>
    <row r="35" spans="1:18" s="171" customFormat="1" ht="15.75">
      <c r="A35" s="180">
        <v>31</v>
      </c>
      <c r="B35" s="184" t="s">
        <v>28</v>
      </c>
      <c r="C35" s="223">
        <f>'[1]Свод в приказ'!$E35</f>
        <v>3490.9</v>
      </c>
      <c r="D35" s="223">
        <f>'[2]Свод в приказ'!$C35</f>
        <v>1163.5999999999997</v>
      </c>
      <c r="E35" s="178">
        <f>'Школы-началка'!X38+'Школы-основная'!Z38+'Школы-средняя'!V38+Допобразование!M37+Коррекция!H37+ППК!H36+Работы!I36</f>
        <v>2410</v>
      </c>
      <c r="F35" s="179">
        <f t="shared" si="0"/>
        <v>82.69999999999936</v>
      </c>
      <c r="G35" s="179">
        <f t="shared" si="1"/>
        <v>3573.5999999999995</v>
      </c>
      <c r="H35" s="216"/>
      <c r="I35" s="225"/>
      <c r="J35" s="179"/>
      <c r="K35" s="179"/>
      <c r="L35" s="179"/>
      <c r="M35" s="218"/>
      <c r="N35" s="179"/>
      <c r="O35" s="179"/>
      <c r="R35" s="232"/>
    </row>
    <row r="36" spans="1:18" s="171" customFormat="1" ht="15.75">
      <c r="A36" s="181">
        <v>32</v>
      </c>
      <c r="B36" s="184" t="s">
        <v>29</v>
      </c>
      <c r="C36" s="223">
        <f>'[1]Свод в приказ'!$E36</f>
        <v>3217.5999999999995</v>
      </c>
      <c r="D36" s="223">
        <f>'[2]Свод в приказ'!$C36</f>
        <v>1072.4</v>
      </c>
      <c r="E36" s="178">
        <f>'Школы-началка'!X39+'Школы-основная'!Z39+'Школы-средняя'!V39+Допобразование!M38+Коррекция!H38+ППК!H37+Работы!I37</f>
        <v>2238.3000000000006</v>
      </c>
      <c r="F36" s="179">
        <f t="shared" si="0"/>
        <v>93.10000000000127</v>
      </c>
      <c r="G36" s="179">
        <f t="shared" si="1"/>
        <v>3310.7000000000007</v>
      </c>
      <c r="H36" s="216">
        <v>19</v>
      </c>
      <c r="I36" s="225"/>
      <c r="J36" s="179"/>
      <c r="K36" s="179"/>
      <c r="L36" s="179"/>
      <c r="M36" s="218"/>
      <c r="N36" s="179"/>
      <c r="O36" s="179"/>
      <c r="R36" s="232"/>
    </row>
    <row r="37" spans="1:18" s="171" customFormat="1" ht="15.75">
      <c r="A37" s="180">
        <v>33</v>
      </c>
      <c r="B37" s="184" t="s">
        <v>30</v>
      </c>
      <c r="C37" s="223">
        <f>'[1]Свод в приказ'!$E37</f>
        <v>1129</v>
      </c>
      <c r="D37" s="223">
        <f>'[2]Свод в приказ'!$C37</f>
        <v>376.2</v>
      </c>
      <c r="E37" s="178">
        <f>'Школы-началка'!X40+'Школы-основная'!Z40+'Школы-средняя'!V40+Допобразование!M39+Коррекция!H39+ППК!H38+Работы!I38</f>
        <v>777.4000000000001</v>
      </c>
      <c r="F37" s="179">
        <f t="shared" si="0"/>
        <v>24.600000000000136</v>
      </c>
      <c r="G37" s="179">
        <f t="shared" si="1"/>
        <v>1153.6000000000001</v>
      </c>
      <c r="H37" s="216"/>
      <c r="I37" s="225"/>
      <c r="J37" s="179"/>
      <c r="K37" s="179"/>
      <c r="L37" s="179"/>
      <c r="M37" s="218"/>
      <c r="N37" s="179"/>
      <c r="O37" s="179"/>
      <c r="R37" s="232"/>
    </row>
    <row r="38" spans="1:18" s="171" customFormat="1" ht="15.75">
      <c r="A38" s="181">
        <v>34</v>
      </c>
      <c r="B38" s="184" t="s">
        <v>31</v>
      </c>
      <c r="C38" s="223">
        <f>'[1]Свод в приказ'!$E38</f>
        <v>3840</v>
      </c>
      <c r="D38" s="223">
        <f>'[2]Свод в приказ'!$C38</f>
        <v>1279.7999999999997</v>
      </c>
      <c r="E38" s="178">
        <f>'Школы-началка'!X41+'Школы-основная'!Z41+'Школы-средняя'!V41+Допобразование!M40+Коррекция!H40+ППК!H39+Работы!I39</f>
        <v>2630.4</v>
      </c>
      <c r="F38" s="179">
        <f t="shared" si="0"/>
        <v>70.19999999999982</v>
      </c>
      <c r="G38" s="179">
        <f t="shared" si="1"/>
        <v>3910.2</v>
      </c>
      <c r="H38" s="216"/>
      <c r="I38" s="225"/>
      <c r="J38" s="179"/>
      <c r="K38" s="179"/>
      <c r="L38" s="179"/>
      <c r="M38" s="218"/>
      <c r="N38" s="179"/>
      <c r="O38" s="179"/>
      <c r="R38" s="232"/>
    </row>
    <row r="39" spans="1:18" s="171" customFormat="1" ht="22.5" customHeight="1">
      <c r="A39" s="180">
        <v>35</v>
      </c>
      <c r="B39" s="184" t="s">
        <v>32</v>
      </c>
      <c r="C39" s="223">
        <f>'[1]Свод в приказ'!$E39</f>
        <v>4334.6</v>
      </c>
      <c r="D39" s="223">
        <f>'[2]Свод в приказ'!$C39</f>
        <v>1444.8000000000004</v>
      </c>
      <c r="E39" s="178">
        <f>'Школы-началка'!X42+'Школы-основная'!Z42+'Школы-средняя'!V42+Допобразование!M41+Коррекция!H41+ППК!H40+Работы!I40</f>
        <v>2972.6</v>
      </c>
      <c r="F39" s="179">
        <f t="shared" si="0"/>
        <v>82.80000000000018</v>
      </c>
      <c r="G39" s="179">
        <f t="shared" si="1"/>
        <v>4417.400000000001</v>
      </c>
      <c r="H39" s="216"/>
      <c r="I39" s="225"/>
      <c r="J39" s="179"/>
      <c r="K39" s="179"/>
      <c r="L39" s="179"/>
      <c r="M39" s="218"/>
      <c r="N39" s="179"/>
      <c r="O39" s="179"/>
      <c r="R39" s="232"/>
    </row>
    <row r="40" spans="1:18" s="171" customFormat="1" ht="21.75" customHeight="1">
      <c r="A40" s="181">
        <v>36</v>
      </c>
      <c r="B40" s="184" t="s">
        <v>33</v>
      </c>
      <c r="C40" s="223">
        <f>'[1]Свод в приказ'!$E40</f>
        <v>1403</v>
      </c>
      <c r="D40" s="223">
        <f>'[2]Свод в приказ'!$C40</f>
        <v>467.70000000000005</v>
      </c>
      <c r="E40" s="178">
        <f>'Школы-началка'!X43+'Школы-основная'!Z43+'Школы-средняя'!V43+Допобразование!M42+Коррекция!H42+ППК!H41+Работы!I41</f>
        <v>1020</v>
      </c>
      <c r="F40" s="179">
        <f t="shared" si="0"/>
        <v>84.70000000000005</v>
      </c>
      <c r="G40" s="179">
        <f t="shared" si="1"/>
        <v>1487.7</v>
      </c>
      <c r="H40" s="216">
        <v>23</v>
      </c>
      <c r="I40" s="225"/>
      <c r="J40" s="179"/>
      <c r="K40" s="179"/>
      <c r="L40" s="179"/>
      <c r="M40" s="218"/>
      <c r="N40" s="179"/>
      <c r="O40" s="179"/>
      <c r="R40" s="232"/>
    </row>
    <row r="41" spans="1:18" s="186" customFormat="1" ht="21" customHeight="1">
      <c r="A41" s="180">
        <v>37</v>
      </c>
      <c r="B41" s="185" t="s">
        <v>34</v>
      </c>
      <c r="C41" s="223">
        <f>'[1]Свод в приказ'!$E41</f>
        <v>1141.1000000000001</v>
      </c>
      <c r="D41" s="223">
        <f>'[2]Свод в приказ'!$C41</f>
        <v>380.3</v>
      </c>
      <c r="E41" s="178">
        <f>'Школы-началка'!X44+'Школы-основная'!Z44+'Школы-средняя'!V44+Допобразование!M43+Коррекция!H43+ППК!H42+Работы!I42</f>
        <v>829.7</v>
      </c>
      <c r="F41" s="179">
        <f t="shared" si="0"/>
        <v>68.89999999999986</v>
      </c>
      <c r="G41" s="179">
        <f t="shared" si="1"/>
        <v>1210</v>
      </c>
      <c r="H41" s="216">
        <v>14.6</v>
      </c>
      <c r="I41" s="225"/>
      <c r="J41" s="179"/>
      <c r="K41" s="179"/>
      <c r="L41" s="179"/>
      <c r="M41" s="218"/>
      <c r="N41" s="179"/>
      <c r="O41" s="179"/>
      <c r="R41" s="232"/>
    </row>
    <row r="42" spans="1:18" s="186" customFormat="1" ht="15.75">
      <c r="A42" s="181">
        <v>38</v>
      </c>
      <c r="B42" s="185" t="s">
        <v>35</v>
      </c>
      <c r="C42" s="223">
        <f>'[1]Свод в приказ'!$E42</f>
        <v>2232.6000000000004</v>
      </c>
      <c r="D42" s="223">
        <f>'[2]Свод в приказ'!$C42</f>
        <v>744.0999999999999</v>
      </c>
      <c r="E42" s="178">
        <f>'Школы-началка'!X45+'Школы-основная'!Z45+'Школы-средняя'!V45+Допобразование!M44+Коррекция!H44+ППК!H43+Работы!I43</f>
        <v>1586.2999999999997</v>
      </c>
      <c r="F42" s="179">
        <f t="shared" si="0"/>
        <v>97.79999999999927</v>
      </c>
      <c r="G42" s="179">
        <f t="shared" si="1"/>
        <v>2330.3999999999996</v>
      </c>
      <c r="H42" s="216">
        <v>41.4</v>
      </c>
      <c r="I42" s="225"/>
      <c r="J42" s="179"/>
      <c r="K42" s="179"/>
      <c r="L42" s="179"/>
      <c r="M42" s="218"/>
      <c r="N42" s="179"/>
      <c r="O42" s="179"/>
      <c r="R42" s="232"/>
    </row>
    <row r="43" spans="1:18" s="171" customFormat="1" ht="16.5" thickBot="1">
      <c r="A43" s="180">
        <v>39</v>
      </c>
      <c r="B43" s="188" t="s">
        <v>36</v>
      </c>
      <c r="C43" s="223">
        <f>'[1]Свод в приказ'!$E43</f>
        <v>3084.9000000000005</v>
      </c>
      <c r="D43" s="223">
        <f>'[2]Свод в приказ'!$C43+144.4+144.4</f>
        <v>1028.7</v>
      </c>
      <c r="E43" s="178">
        <f>'Школы-началка'!X46+'Школы-основная'!Z46+'Школы-средняя'!V46+Допобразование!M45+Коррекция!H45+ППК!H44+Работы!I44+299.1+299.1</f>
        <v>2164.3999999999996</v>
      </c>
      <c r="F43" s="179">
        <f t="shared" si="0"/>
        <v>108.19999999999891</v>
      </c>
      <c r="G43" s="179">
        <f t="shared" si="1"/>
        <v>3193.0999999999995</v>
      </c>
      <c r="H43" s="216">
        <v>33.3</v>
      </c>
      <c r="I43" s="225"/>
      <c r="J43" s="218"/>
      <c r="K43" s="179"/>
      <c r="L43" s="179"/>
      <c r="M43" s="218"/>
      <c r="N43" s="179"/>
      <c r="O43" s="179"/>
      <c r="R43" s="232"/>
    </row>
    <row r="44" spans="1:15" s="171" customFormat="1" ht="32.25" thickBot="1">
      <c r="A44" s="189"/>
      <c r="B44" s="204" t="s">
        <v>74</v>
      </c>
      <c r="C44" s="224">
        <f aca="true" t="shared" si="2" ref="C44:H44">SUM(C5:C43)</f>
        <v>115294.70000000001</v>
      </c>
      <c r="D44" s="224">
        <f t="shared" si="2"/>
        <v>38437.499999999985</v>
      </c>
      <c r="E44" s="214">
        <f t="shared" si="2"/>
        <v>80124.59999999999</v>
      </c>
      <c r="F44" s="214">
        <f t="shared" si="2"/>
        <v>3267.3999999999996</v>
      </c>
      <c r="G44" s="214">
        <f t="shared" si="2"/>
        <v>118562.09999999999</v>
      </c>
      <c r="H44" s="215">
        <f t="shared" si="2"/>
        <v>846.1999999999998</v>
      </c>
      <c r="I44" s="215"/>
      <c r="J44" s="179"/>
      <c r="K44" s="179"/>
      <c r="L44" s="179"/>
      <c r="M44" s="179"/>
      <c r="N44" s="179"/>
      <c r="O44" s="179"/>
    </row>
    <row r="45" spans="1:13" s="171" customFormat="1" ht="18" customHeight="1">
      <c r="A45" s="190"/>
      <c r="B45" s="203"/>
      <c r="C45" s="203"/>
      <c r="D45" s="203"/>
      <c r="F45" s="172"/>
      <c r="G45" s="172"/>
      <c r="H45" s="172"/>
      <c r="I45" s="172"/>
      <c r="J45" s="172"/>
      <c r="K45" s="172"/>
      <c r="L45" s="172"/>
      <c r="M45" s="172"/>
    </row>
    <row r="46" spans="1:13" s="171" customFormat="1" ht="15.75">
      <c r="A46" s="191"/>
      <c r="B46" s="192"/>
      <c r="C46" s="192"/>
      <c r="D46" s="192"/>
      <c r="F46" s="172"/>
      <c r="G46" s="172"/>
      <c r="H46" s="172"/>
      <c r="I46" s="172"/>
      <c r="J46" s="172"/>
      <c r="K46" s="233"/>
      <c r="L46" s="172"/>
      <c r="M46" s="172"/>
    </row>
    <row r="47" spans="1:13" s="171" customFormat="1" ht="15.75">
      <c r="A47" s="191"/>
      <c r="B47" s="192"/>
      <c r="C47" s="192"/>
      <c r="D47" s="192"/>
      <c r="F47" s="172"/>
      <c r="G47" s="172"/>
      <c r="H47" s="172"/>
      <c r="I47" s="172"/>
      <c r="J47" s="172"/>
      <c r="K47" s="172"/>
      <c r="L47" s="172"/>
      <c r="M47" s="172"/>
    </row>
    <row r="48" spans="1:13" s="171" customFormat="1" ht="15.75">
      <c r="A48" s="191"/>
      <c r="B48" s="192"/>
      <c r="C48" s="192"/>
      <c r="D48" s="192"/>
      <c r="F48" s="172"/>
      <c r="G48" s="172"/>
      <c r="H48" s="172"/>
      <c r="I48" s="172"/>
      <c r="J48" s="172"/>
      <c r="K48" s="172"/>
      <c r="L48" s="172"/>
      <c r="M48" s="172"/>
    </row>
    <row r="49" spans="1:13" s="171" customFormat="1" ht="15.75">
      <c r="A49" s="191"/>
      <c r="B49" s="192"/>
      <c r="C49" s="192"/>
      <c r="D49" s="192"/>
      <c r="F49" s="172"/>
      <c r="G49" s="172"/>
      <c r="H49" s="172"/>
      <c r="I49" s="172"/>
      <c r="J49" s="172"/>
      <c r="K49" s="172"/>
      <c r="L49" s="172"/>
      <c r="M49" s="172"/>
    </row>
    <row r="50" spans="1:13" s="171" customFormat="1" ht="15.75">
      <c r="A50" s="191"/>
      <c r="B50" s="193"/>
      <c r="C50" s="193"/>
      <c r="D50" s="193"/>
      <c r="F50" s="172"/>
      <c r="G50" s="172"/>
      <c r="H50" s="172"/>
      <c r="I50" s="172"/>
      <c r="J50" s="172"/>
      <c r="K50" s="172"/>
      <c r="L50" s="172"/>
      <c r="M50" s="172"/>
    </row>
    <row r="51" spans="1:13" s="171" customFormat="1" ht="15.75">
      <c r="A51" s="191"/>
      <c r="B51" s="193"/>
      <c r="C51" s="193"/>
      <c r="D51" s="193"/>
      <c r="F51" s="172"/>
      <c r="G51" s="172"/>
      <c r="H51" s="172"/>
      <c r="I51" s="172"/>
      <c r="J51" s="172"/>
      <c r="K51" s="172"/>
      <c r="L51" s="172"/>
      <c r="M51" s="172"/>
    </row>
    <row r="52" spans="1:13" s="171" customFormat="1" ht="16.5" customHeight="1">
      <c r="A52" s="191"/>
      <c r="B52" s="192"/>
      <c r="C52" s="192"/>
      <c r="D52" s="192"/>
      <c r="F52" s="172"/>
      <c r="G52" s="172"/>
      <c r="H52" s="172"/>
      <c r="I52" s="172"/>
      <c r="J52" s="172"/>
      <c r="K52" s="172"/>
      <c r="L52" s="172"/>
      <c r="M52" s="172"/>
    </row>
    <row r="53" spans="1:13" s="171" customFormat="1" ht="15.75">
      <c r="A53" s="191"/>
      <c r="B53" s="192"/>
      <c r="C53" s="192"/>
      <c r="D53" s="192"/>
      <c r="F53" s="172"/>
      <c r="G53" s="172"/>
      <c r="H53" s="172"/>
      <c r="I53" s="172"/>
      <c r="J53" s="172"/>
      <c r="K53" s="172"/>
      <c r="L53" s="172"/>
      <c r="M53" s="172"/>
    </row>
    <row r="54" spans="1:13" s="171" customFormat="1" ht="15.75">
      <c r="A54" s="191"/>
      <c r="B54" s="192"/>
      <c r="C54" s="192"/>
      <c r="D54" s="192"/>
      <c r="F54" s="172"/>
      <c r="G54" s="172"/>
      <c r="H54" s="172"/>
      <c r="I54" s="172"/>
      <c r="J54" s="172"/>
      <c r="K54" s="172"/>
      <c r="L54" s="172"/>
      <c r="M54" s="172"/>
    </row>
    <row r="55" spans="1:13" s="171" customFormat="1" ht="15.75">
      <c r="A55" s="191"/>
      <c r="B55" s="192"/>
      <c r="C55" s="192"/>
      <c r="D55" s="192"/>
      <c r="F55" s="172"/>
      <c r="G55" s="172"/>
      <c r="H55" s="172"/>
      <c r="I55" s="172"/>
      <c r="J55" s="172"/>
      <c r="K55" s="172"/>
      <c r="L55" s="172"/>
      <c r="M55" s="172"/>
    </row>
    <row r="56" spans="1:13" s="171" customFormat="1" ht="15.75">
      <c r="A56" s="191"/>
      <c r="B56" s="192"/>
      <c r="C56" s="192"/>
      <c r="D56" s="192"/>
      <c r="F56" s="172"/>
      <c r="G56" s="172"/>
      <c r="H56" s="172"/>
      <c r="I56" s="172"/>
      <c r="J56" s="172"/>
      <c r="K56" s="172"/>
      <c r="L56" s="172"/>
      <c r="M56" s="172"/>
    </row>
    <row r="57" spans="1:13" s="171" customFormat="1" ht="15.75">
      <c r="A57" s="191"/>
      <c r="B57" s="192"/>
      <c r="C57" s="192"/>
      <c r="D57" s="192"/>
      <c r="F57" s="172"/>
      <c r="G57" s="172"/>
      <c r="H57" s="172"/>
      <c r="I57" s="172"/>
      <c r="J57" s="172"/>
      <c r="K57" s="172"/>
      <c r="L57" s="172"/>
      <c r="M57" s="172"/>
    </row>
    <row r="58" spans="1:13" s="171" customFormat="1" ht="15.75">
      <c r="A58" s="191"/>
      <c r="B58" s="194"/>
      <c r="C58" s="194"/>
      <c r="D58" s="194"/>
      <c r="F58" s="172"/>
      <c r="G58" s="172"/>
      <c r="H58" s="172"/>
      <c r="I58" s="172"/>
      <c r="J58" s="172"/>
      <c r="K58" s="172"/>
      <c r="L58" s="172"/>
      <c r="M58" s="172"/>
    </row>
    <row r="59" spans="1:13" s="195" customFormat="1" ht="16.5" customHeight="1">
      <c r="A59" s="273"/>
      <c r="B59" s="273"/>
      <c r="C59" s="209"/>
      <c r="D59" s="209"/>
      <c r="F59" s="196"/>
      <c r="G59" s="196"/>
      <c r="H59" s="196"/>
      <c r="I59" s="196"/>
      <c r="J59" s="196"/>
      <c r="K59" s="196"/>
      <c r="L59" s="196"/>
      <c r="M59" s="196"/>
    </row>
    <row r="60" spans="1:4" ht="15.75">
      <c r="A60" s="191"/>
      <c r="B60" s="193"/>
      <c r="C60" s="193"/>
      <c r="D60" s="193"/>
    </row>
    <row r="61" spans="1:4" ht="15.75">
      <c r="A61" s="191"/>
      <c r="B61" s="193"/>
      <c r="C61" s="193"/>
      <c r="D61" s="193"/>
    </row>
    <row r="62" spans="1:4" ht="15.75">
      <c r="A62" s="191"/>
      <c r="B62" s="193"/>
      <c r="C62" s="193"/>
      <c r="D62" s="193"/>
    </row>
    <row r="63" spans="1:4" ht="15.75">
      <c r="A63" s="191"/>
      <c r="B63" s="193"/>
      <c r="C63" s="193"/>
      <c r="D63" s="193"/>
    </row>
    <row r="64" spans="1:4" ht="18" customHeight="1">
      <c r="A64" s="191"/>
      <c r="B64" s="193"/>
      <c r="C64" s="193"/>
      <c r="D64" s="193"/>
    </row>
    <row r="65" spans="1:4" ht="15.75">
      <c r="A65" s="191"/>
      <c r="B65" s="193"/>
      <c r="C65" s="193"/>
      <c r="D65" s="193"/>
    </row>
    <row r="66" spans="1:4" ht="15.75">
      <c r="A66" s="191"/>
      <c r="B66" s="193"/>
      <c r="C66" s="193"/>
      <c r="D66" s="193"/>
    </row>
    <row r="67" spans="1:4" ht="15.75">
      <c r="A67" s="191"/>
      <c r="B67" s="193"/>
      <c r="C67" s="193"/>
      <c r="D67" s="193"/>
    </row>
    <row r="68" spans="1:4" ht="15.75">
      <c r="A68" s="191"/>
      <c r="B68" s="193"/>
      <c r="C68" s="193"/>
      <c r="D68" s="193"/>
    </row>
    <row r="69" spans="1:4" ht="15.75">
      <c r="A69" s="191"/>
      <c r="B69" s="193"/>
      <c r="C69" s="193"/>
      <c r="D69" s="193"/>
    </row>
    <row r="70" spans="1:4" ht="15.75">
      <c r="A70" s="191"/>
      <c r="B70" s="192"/>
      <c r="C70" s="192"/>
      <c r="D70" s="192"/>
    </row>
    <row r="71" spans="1:4" ht="15.75">
      <c r="A71" s="191"/>
      <c r="B71" s="192"/>
      <c r="C71" s="192"/>
      <c r="D71" s="192"/>
    </row>
    <row r="72" spans="1:4" ht="15.75">
      <c r="A72" s="191"/>
      <c r="B72" s="192"/>
      <c r="C72" s="192"/>
      <c r="D72" s="192"/>
    </row>
    <row r="73" spans="1:4" ht="15.75">
      <c r="A73" s="191"/>
      <c r="B73" s="192"/>
      <c r="C73" s="192"/>
      <c r="D73" s="192"/>
    </row>
    <row r="74" spans="1:4" ht="15.75">
      <c r="A74" s="191"/>
      <c r="B74" s="192"/>
      <c r="C74" s="192"/>
      <c r="D74" s="192"/>
    </row>
    <row r="75" spans="1:4" ht="15.75">
      <c r="A75" s="191"/>
      <c r="B75" s="192"/>
      <c r="C75" s="192"/>
      <c r="D75" s="192"/>
    </row>
    <row r="76" spans="1:4" ht="15.75">
      <c r="A76" s="191"/>
      <c r="B76" s="192"/>
      <c r="C76" s="192"/>
      <c r="D76" s="192"/>
    </row>
    <row r="77" spans="1:4" ht="15.75">
      <c r="A77" s="191"/>
      <c r="B77" s="192"/>
      <c r="C77" s="192"/>
      <c r="D77" s="192"/>
    </row>
    <row r="78" spans="1:4" ht="15.75">
      <c r="A78" s="191"/>
      <c r="B78" s="192"/>
      <c r="C78" s="192"/>
      <c r="D78" s="192"/>
    </row>
    <row r="79" spans="1:4" ht="15.75">
      <c r="A79" s="191"/>
      <c r="B79" s="192"/>
      <c r="C79" s="192"/>
      <c r="D79" s="192"/>
    </row>
    <row r="80" spans="1:4" ht="15.75">
      <c r="A80" s="191"/>
      <c r="B80" s="192"/>
      <c r="C80" s="192"/>
      <c r="D80" s="192"/>
    </row>
    <row r="81" spans="1:4" ht="15.75">
      <c r="A81" s="191"/>
      <c r="B81" s="192"/>
      <c r="C81" s="192"/>
      <c r="D81" s="192"/>
    </row>
    <row r="82" spans="1:4" ht="15.75">
      <c r="A82" s="191"/>
      <c r="B82" s="192"/>
      <c r="C82" s="192"/>
      <c r="D82" s="192"/>
    </row>
    <row r="83" spans="1:4" ht="15.75">
      <c r="A83" s="191"/>
      <c r="B83" s="192"/>
      <c r="C83" s="192"/>
      <c r="D83" s="192"/>
    </row>
    <row r="84" spans="1:4" ht="15.75">
      <c r="A84" s="191"/>
      <c r="B84" s="192"/>
      <c r="C84" s="192"/>
      <c r="D84" s="192"/>
    </row>
    <row r="85" spans="1:4" ht="15.75">
      <c r="A85" s="191"/>
      <c r="B85" s="192"/>
      <c r="C85" s="192"/>
      <c r="D85" s="192"/>
    </row>
    <row r="86" spans="1:4" ht="15.75">
      <c r="A86" s="191"/>
      <c r="B86" s="192"/>
      <c r="C86" s="192"/>
      <c r="D86" s="192"/>
    </row>
    <row r="87" spans="1:4" ht="15.75">
      <c r="A87" s="191"/>
      <c r="B87" s="192"/>
      <c r="C87" s="192"/>
      <c r="D87" s="192"/>
    </row>
    <row r="88" spans="1:4" ht="15.75">
      <c r="A88" s="191"/>
      <c r="B88" s="192"/>
      <c r="C88" s="192"/>
      <c r="D88" s="192"/>
    </row>
    <row r="89" spans="1:4" ht="15.75">
      <c r="A89" s="191"/>
      <c r="B89" s="192"/>
      <c r="C89" s="192"/>
      <c r="D89" s="192"/>
    </row>
    <row r="90" spans="1:4" ht="15.75">
      <c r="A90" s="191"/>
      <c r="B90" s="192"/>
      <c r="C90" s="192"/>
      <c r="D90" s="192"/>
    </row>
    <row r="91" spans="1:4" ht="15.75">
      <c r="A91" s="191"/>
      <c r="B91" s="192"/>
      <c r="C91" s="192"/>
      <c r="D91" s="192"/>
    </row>
    <row r="92" spans="1:4" ht="15.75">
      <c r="A92" s="191"/>
      <c r="B92" s="192"/>
      <c r="C92" s="192"/>
      <c r="D92" s="192"/>
    </row>
    <row r="93" spans="1:4" ht="15.75">
      <c r="A93" s="191"/>
      <c r="B93" s="192"/>
      <c r="C93" s="192"/>
      <c r="D93" s="192"/>
    </row>
    <row r="94" spans="1:4" ht="15.75">
      <c r="A94" s="191"/>
      <c r="B94" s="192"/>
      <c r="C94" s="192"/>
      <c r="D94" s="192"/>
    </row>
    <row r="95" spans="1:4" ht="15.75">
      <c r="A95" s="191"/>
      <c r="B95" s="192"/>
      <c r="C95" s="192"/>
      <c r="D95" s="192"/>
    </row>
    <row r="96" spans="1:4" ht="15.75">
      <c r="A96" s="191"/>
      <c r="B96" s="192"/>
      <c r="C96" s="192"/>
      <c r="D96" s="192"/>
    </row>
    <row r="97" spans="1:4" ht="15.75">
      <c r="A97" s="191"/>
      <c r="B97" s="192"/>
      <c r="C97" s="192"/>
      <c r="D97" s="192"/>
    </row>
    <row r="98" spans="1:4" ht="15.75">
      <c r="A98" s="191"/>
      <c r="B98" s="192"/>
      <c r="C98" s="192"/>
      <c r="D98" s="192"/>
    </row>
    <row r="99" spans="1:4" ht="15.75">
      <c r="A99" s="191"/>
      <c r="B99" s="192"/>
      <c r="C99" s="192"/>
      <c r="D99" s="192"/>
    </row>
    <row r="100" spans="1:4" ht="15.75">
      <c r="A100" s="191"/>
      <c r="B100" s="192"/>
      <c r="C100" s="192"/>
      <c r="D100" s="192"/>
    </row>
    <row r="101" spans="1:4" ht="15.75">
      <c r="A101" s="191"/>
      <c r="B101" s="192"/>
      <c r="C101" s="192"/>
      <c r="D101" s="192"/>
    </row>
    <row r="102" spans="1:4" ht="15.75">
      <c r="A102" s="191"/>
      <c r="B102" s="192"/>
      <c r="C102" s="192"/>
      <c r="D102" s="192"/>
    </row>
    <row r="103" spans="1:4" ht="15.75">
      <c r="A103" s="191"/>
      <c r="B103" s="192"/>
      <c r="C103" s="192"/>
      <c r="D103" s="192"/>
    </row>
    <row r="104" spans="1:4" ht="15.75">
      <c r="A104" s="199"/>
      <c r="B104" s="200"/>
      <c r="C104" s="200"/>
      <c r="D104" s="200"/>
    </row>
    <row r="105" spans="1:4" ht="18.75">
      <c r="A105" s="201"/>
      <c r="B105" s="201"/>
      <c r="C105" s="201"/>
      <c r="D105" s="201"/>
    </row>
    <row r="106" spans="1:4" ht="12.75">
      <c r="A106" s="199"/>
      <c r="B106" s="199"/>
      <c r="C106" s="199"/>
      <c r="D106" s="199"/>
    </row>
  </sheetData>
  <sheetProtection/>
  <mergeCells count="15">
    <mergeCell ref="N3:N4"/>
    <mergeCell ref="O3:O4"/>
    <mergeCell ref="F3:F4"/>
    <mergeCell ref="H3:H4"/>
    <mergeCell ref="I3:I4"/>
    <mergeCell ref="K3:K4"/>
    <mergeCell ref="G3:G4"/>
    <mergeCell ref="E3:E4"/>
    <mergeCell ref="A59:B59"/>
    <mergeCell ref="A1:B1"/>
    <mergeCell ref="A3:A4"/>
    <mergeCell ref="B3:B4"/>
    <mergeCell ref="D3:D4"/>
    <mergeCell ref="C3:C4"/>
    <mergeCell ref="E1:H1"/>
  </mergeCells>
  <printOptions horizontalCentered="1"/>
  <pageMargins left="0" right="0" top="0.5905511811023623" bottom="0" header="0" footer="0"/>
  <pageSetup horizontalDpi="600" verticalDpi="600" orientation="landscape" paperSize="9" scale="55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2018-08-17T12:32:51Z</cp:lastPrinted>
  <dcterms:created xsi:type="dcterms:W3CDTF">2005-01-25T12:19:56Z</dcterms:created>
  <dcterms:modified xsi:type="dcterms:W3CDTF">2018-08-17T13:45:51Z</dcterms:modified>
  <cp:category/>
  <cp:version/>
  <cp:contentType/>
  <cp:contentStatus/>
</cp:coreProperties>
</file>