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2120" windowHeight="7335" firstSheet="2" activeTab="8"/>
  </bookViews>
  <sheets>
    <sheet name="Школы-началка" sheetId="1" r:id="rId1"/>
    <sheet name="Школы-основная" sheetId="2" r:id="rId2"/>
    <sheet name="Школы-средняя" sheetId="3" r:id="rId3"/>
    <sheet name="Допобразование" sheetId="4" r:id="rId4"/>
    <sheet name="Коррекция" sheetId="5" r:id="rId5"/>
    <sheet name="ППК" sheetId="6" r:id="rId6"/>
    <sheet name="Работы" sheetId="7" r:id="rId7"/>
    <sheet name="Свод " sheetId="8" r:id="rId8"/>
    <sheet name="Свод в приказ" sheetId="9" r:id="rId9"/>
  </sheets>
  <externalReferences>
    <externalReference r:id="rId12"/>
    <externalReference r:id="rId13"/>
  </externalReferences>
  <definedNames>
    <definedName name="_xlnm.Print_Titles" localSheetId="3">'Допобразование'!$A:$B,'Допобразование'!$3:$6</definedName>
    <definedName name="_xlnm.Print_Titles" localSheetId="4">'Коррекция'!$A:$B,'Коррекция'!$3:$6</definedName>
    <definedName name="_xlnm.Print_Titles" localSheetId="5">'ППК'!$A:$B,'ППК'!$3:$5</definedName>
    <definedName name="_xlnm.Print_Titles" localSheetId="7">'Свод '!$A:$B,'Свод '!$3:$4</definedName>
    <definedName name="_xlnm.Print_Titles" localSheetId="8">'Свод в приказ'!$A:$B,'Свод в приказ'!$3:$4</definedName>
    <definedName name="_xlnm.Print_Titles" localSheetId="0">'Школы-началка'!$A:$B,'Школы-началка'!$3:$6</definedName>
    <definedName name="_xlnm.Print_Titles" localSheetId="1">'Школы-основная'!$A:$B,'Школы-основная'!$3:$6</definedName>
    <definedName name="_xlnm.Print_Titles" localSheetId="2">'Школы-средняя'!$A:$B,'Школы-средняя'!$3:$6</definedName>
    <definedName name="_xlnm.Print_Area" localSheetId="3">'Допобразование'!$A$1:$L$46</definedName>
    <definedName name="_xlnm.Print_Area" localSheetId="4">'Коррекция'!$A$1:$G$46</definedName>
    <definedName name="_xlnm.Print_Area" localSheetId="5">'ППК'!$A$1:$G$45</definedName>
    <definedName name="_xlnm.Print_Area" localSheetId="6">'Работы'!$A$1:$H$45</definedName>
    <definedName name="_xlnm.Print_Area" localSheetId="7">'Свод '!$A$1:$E$44</definedName>
    <definedName name="_xlnm.Print_Area" localSheetId="8">'Свод в приказ'!$A$1:$G$44</definedName>
    <definedName name="_xlnm.Print_Area" localSheetId="0">'Школы-началка'!$A$1:$W$47</definedName>
    <definedName name="_xlnm.Print_Area" localSheetId="1">'Школы-основная'!$A$1:$Y$47</definedName>
    <definedName name="_xlnm.Print_Area" localSheetId="2">'Школы-средняя'!$A$1:$U$47</definedName>
  </definedNames>
  <calcPr fullCalcOnLoad="1"/>
</workbook>
</file>

<file path=xl/sharedStrings.xml><?xml version="1.0" encoding="utf-8"?>
<sst xmlns="http://schemas.openxmlformats.org/spreadsheetml/2006/main" count="590" uniqueCount="104">
  <si>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</si>
  <si>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</si>
  <si>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</si>
  <si>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</si>
  <si>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</si>
  <si>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</si>
  <si>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</si>
  <si>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</si>
  <si>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</si>
  <si>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</si>
  <si>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</si>
  <si>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</si>
  <si>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</si>
  <si>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</si>
  <si>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№3</t>
  </si>
  <si>
    <t>ООШ №4</t>
  </si>
  <si>
    <t>СОШ №7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</si>
  <si>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</si>
  <si>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</si>
  <si>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</si>
  <si>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</si>
  <si>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</si>
  <si>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</si>
  <si>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</si>
  <si>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</si>
  <si>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</si>
  <si>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</si>
  <si>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</si>
  <si>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</si>
  <si>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</si>
  <si>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</si>
  <si>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</si>
  <si>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</si>
  <si>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</si>
  <si>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</si>
  <si>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</si>
  <si>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</si>
  <si>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Итого школы</t>
  </si>
  <si>
    <t>№п/п</t>
  </si>
  <si>
    <t>Наименование школы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</si>
  <si>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</si>
  <si>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</si>
  <si>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</si>
  <si>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адаптированная образовательная программ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</si>
  <si>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</si>
  <si>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</si>
  <si>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</si>
  <si>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реализация дополнительных общеразвивающих программ</t>
  </si>
  <si>
    <t>обучающиеся</t>
  </si>
  <si>
    <t>естественно-научное направление, чел-час</t>
  </si>
  <si>
    <t>туристко-краеведческое направление, чел-час</t>
  </si>
  <si>
    <t>физкультурно-спортивное направление, чел-час</t>
  </si>
  <si>
    <t>социально-педагогическое направление, чел-час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</si>
  <si>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</si>
  <si>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реализация коррекционно-развивающей, компенсирующей и логопедической помощи</t>
  </si>
  <si>
    <t>основная образовательная программ</t>
  </si>
  <si>
    <t>техническое (научно-техническое) направление, чел-час</t>
  </si>
  <si>
    <t>художественное (художественно-эстетическое) направление, чел-час</t>
  </si>
  <si>
    <t>обучающиеся с ОВЗ на дому</t>
  </si>
  <si>
    <t>профильное обучение</t>
  </si>
  <si>
    <t>дети-инвалиды на дому</t>
  </si>
  <si>
    <t>НШ  №1</t>
  </si>
  <si>
    <t>СОШ №2</t>
  </si>
  <si>
    <t>Всего</t>
  </si>
  <si>
    <t>основная образовательная программ-профильное обучение</t>
  </si>
  <si>
    <t>город</t>
  </si>
  <si>
    <t>село</t>
  </si>
  <si>
    <t>Наименование и объём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</si>
  <si>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(научно-иссследовательской) деятельности, творческой деятельности, физкультурно-спортивной деятельности</t>
  </si>
  <si>
    <t>количество мероприятий</t>
  </si>
  <si>
    <t>количество участников мероприятий</t>
  </si>
  <si>
    <t>по максимальному объёму-СОШ-9</t>
  </si>
  <si>
    <t>Свод  ФО МЗ, тыс. руб.</t>
  </si>
  <si>
    <t>чел.</t>
  </si>
  <si>
    <t>Потребители муниципальной услуги</t>
  </si>
  <si>
    <t>Наименование общеобразовательной организации</t>
  </si>
  <si>
    <t>Режим работы, количество дней работы в неделю</t>
  </si>
  <si>
    <t>Наименование и объём  муниципальной услуги</t>
  </si>
  <si>
    <t>Итого общеобразовательные организации</t>
  </si>
  <si>
    <t>№ п/п</t>
  </si>
  <si>
    <t>Финансовое обеспечение  муниципальных услуг  в части затрат на оплату труда,    тыс. руб.</t>
  </si>
  <si>
    <t>Наименование и объем муниципальной услуги</t>
  </si>
  <si>
    <t>Налоги, тыс. руб.</t>
  </si>
  <si>
    <t>Базовый норматив затрат на общехозяйственные нужды на одного обучающегося , руб./год</t>
  </si>
  <si>
    <t>Отраслевой корректирующий  коэффициент затрат на общехозяйственные нужды, учитывающий режим работы учреждения (5,6 дней в неделю) и виды благоустройства</t>
  </si>
  <si>
    <t>Финансовое обеспечение  муниципальных услуг  в части общехозяйственных,  тыс. руб.</t>
  </si>
  <si>
    <t xml:space="preserve"> Расходы на общехозяйственные нужды на одного обучающегося , руб./год</t>
  </si>
  <si>
    <t>Финансовое обеспечение  муниципальных услуг  в части общехозяйственных затрат,    тыс. руб.</t>
  </si>
  <si>
    <t>Финансовое обеспечение  муниципальных услуг  в части общехозяйственных затрат,  тыс. руб.</t>
  </si>
  <si>
    <t>Финансовое обеспечение  муниципальных услуг  в части общехозяйственных  затрат,  тыс. руб.</t>
  </si>
  <si>
    <t>Финансовое обеспечение  оказания муниципальных услуг, выполнения работ,    тыс. руб.</t>
  </si>
  <si>
    <t>Финансовое обеспечение  оказания муниципальных услуг, выполнения работ  в части  общехозяйственных  затрат,    тыс. руб.</t>
  </si>
  <si>
    <t>Финансовое обеспечение  оказания муниципальных услуг, выполнения работ  в части затрат на материальные и иные затраты,    тыс. руб.</t>
  </si>
  <si>
    <t>Общехозяйственные-в бюджете, тыс. руб.</t>
  </si>
  <si>
    <t>Общехозяйственные-контроль, тыс. руб.</t>
  </si>
  <si>
    <t xml:space="preserve"> Расходы на общехозяйственные нужды на одно мероприятие , руб./год</t>
  </si>
  <si>
    <t>Приложение №113</t>
  </si>
  <si>
    <t>Приложение №114</t>
  </si>
  <si>
    <t>Приложение №115</t>
  </si>
  <si>
    <t>Приложение №116</t>
  </si>
  <si>
    <t>Приложение №117</t>
  </si>
  <si>
    <t>Приложение №118</t>
  </si>
  <si>
    <t>Приложение №119</t>
  </si>
  <si>
    <t>Приложение №126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</si>
</sst>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left"/>
      <protection/>
    </xf>
    <xf numFmtId="0" fontId="5" fillId="33" borderId="15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left"/>
      <protection/>
    </xf>
    <xf numFmtId="0" fontId="12" fillId="33" borderId="0" xfId="54" applyFont="1" applyFill="1">
      <alignment/>
      <protection/>
    </xf>
    <xf numFmtId="0" fontId="5" fillId="33" borderId="15" xfId="54" applyFont="1" applyFill="1" applyBorder="1" applyAlignment="1">
      <alignment vertical="top"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wrapText="1"/>
      <protection/>
    </xf>
    <xf numFmtId="1" fontId="11" fillId="33" borderId="16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 wrapText="1"/>
      <protection/>
    </xf>
    <xf numFmtId="0" fontId="5" fillId="33" borderId="18" xfId="54" applyFont="1" applyFill="1" applyBorder="1" applyAlignment="1">
      <alignment vertical="top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left" wrapText="1"/>
      <protection/>
    </xf>
    <xf numFmtId="0" fontId="5" fillId="33" borderId="15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0" fontId="5" fillId="33" borderId="18" xfId="54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wrapText="1"/>
      <protection/>
    </xf>
    <xf numFmtId="3" fontId="10" fillId="33" borderId="11" xfId="54" applyNumberFormat="1" applyFont="1" applyFill="1" applyBorder="1" applyAlignment="1">
      <alignment horizontal="center" wrapText="1"/>
      <protection/>
    </xf>
    <xf numFmtId="180" fontId="8" fillId="33" borderId="15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Alignment="1">
      <alignment horizontal="center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" fontId="11" fillId="34" borderId="16" xfId="33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4" fillId="33" borderId="0" xfId="54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3" fontId="10" fillId="33" borderId="15" xfId="54" applyNumberFormat="1" applyFont="1" applyFill="1" applyBorder="1" applyAlignment="1">
      <alignment horizontal="center" wrapText="1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8" fillId="35" borderId="0" xfId="54" applyFont="1" applyFill="1">
      <alignment/>
      <protection/>
    </xf>
    <xf numFmtId="180" fontId="8" fillId="35" borderId="15" xfId="54" applyNumberFormat="1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2" fillId="35" borderId="0" xfId="54" applyFill="1">
      <alignment/>
      <protection/>
    </xf>
    <xf numFmtId="180" fontId="8" fillId="35" borderId="16" xfId="54" applyNumberFormat="1" applyFont="1" applyFill="1" applyBorder="1" applyAlignment="1">
      <alignment horizontal="center"/>
      <protection/>
    </xf>
    <xf numFmtId="180" fontId="8" fillId="35" borderId="0" xfId="54" applyNumberFormat="1" applyFont="1" applyFill="1" applyAlignment="1">
      <alignment horizontal="center"/>
      <protection/>
    </xf>
    <xf numFmtId="0" fontId="51" fillId="33" borderId="14" xfId="54" applyFont="1" applyFill="1" applyBorder="1" applyAlignment="1">
      <alignment horizontal="center" wrapText="1"/>
      <protection/>
    </xf>
    <xf numFmtId="2" fontId="7" fillId="33" borderId="18" xfId="54" applyNumberFormat="1" applyFont="1" applyFill="1" applyBorder="1" applyAlignment="1">
      <alignment wrapText="1"/>
      <protection/>
    </xf>
    <xf numFmtId="176" fontId="11" fillId="33" borderId="17" xfId="54" applyNumberFormat="1" applyFont="1" applyFill="1" applyBorder="1" applyAlignment="1">
      <alignment horizontal="center" wrapText="1"/>
      <protection/>
    </xf>
    <xf numFmtId="0" fontId="11" fillId="33" borderId="0" xfId="54" applyFont="1" applyFill="1">
      <alignment/>
      <protection/>
    </xf>
    <xf numFmtId="177" fontId="11" fillId="33" borderId="19" xfId="54" applyNumberFormat="1" applyFont="1" applyFill="1" applyBorder="1" applyAlignment="1">
      <alignment horizontal="center" vertical="center" wrapText="1"/>
      <protection/>
    </xf>
    <xf numFmtId="177" fontId="11" fillId="33" borderId="15" xfId="54" applyNumberFormat="1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8" fillId="35" borderId="0" xfId="54" applyFont="1" applyFill="1" applyBorder="1">
      <alignment/>
      <protection/>
    </xf>
    <xf numFmtId="0" fontId="5" fillId="33" borderId="14" xfId="54" applyFont="1" applyFill="1" applyBorder="1" applyAlignment="1">
      <alignment horizontal="left"/>
      <protection/>
    </xf>
    <xf numFmtId="180" fontId="8" fillId="35" borderId="17" xfId="54" applyNumberFormat="1" applyFont="1" applyFill="1" applyBorder="1" applyAlignment="1">
      <alignment horizontal="center"/>
      <protection/>
    </xf>
    <xf numFmtId="0" fontId="12" fillId="35" borderId="15" xfId="54" applyFont="1" applyFill="1" applyBorder="1" applyAlignment="1">
      <alignment horizontal="center" vertical="center" wrapText="1"/>
      <protection/>
    </xf>
    <xf numFmtId="0" fontId="8" fillId="36" borderId="0" xfId="54" applyFont="1" applyFill="1" applyBorder="1">
      <alignment/>
      <protection/>
    </xf>
    <xf numFmtId="0" fontId="8" fillId="35" borderId="0" xfId="54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/>
      <protection/>
    </xf>
    <xf numFmtId="180" fontId="8" fillId="33" borderId="0" xfId="54" applyNumberFormat="1" applyFont="1" applyFill="1" applyBorder="1">
      <alignment/>
      <protection/>
    </xf>
    <xf numFmtId="176" fontId="8" fillId="33" borderId="0" xfId="54" applyNumberFormat="1" applyFont="1" applyFill="1" applyBorder="1">
      <alignment/>
      <protection/>
    </xf>
    <xf numFmtId="180" fontId="8" fillId="36" borderId="0" xfId="54" applyNumberFormat="1" applyFont="1" applyFill="1" applyBorder="1">
      <alignment/>
      <protection/>
    </xf>
    <xf numFmtId="180" fontId="8" fillId="35" borderId="0" xfId="54" applyNumberFormat="1" applyFont="1" applyFill="1" applyBorder="1" applyAlignment="1">
      <alignment horizontal="center"/>
      <protection/>
    </xf>
    <xf numFmtId="180" fontId="8" fillId="19" borderId="0" xfId="54" applyNumberFormat="1" applyFont="1" applyFill="1" applyBorder="1" applyAlignment="1">
      <alignment horizontal="center"/>
      <protection/>
    </xf>
    <xf numFmtId="180" fontId="8" fillId="35" borderId="0" xfId="54" applyNumberFormat="1" applyFont="1" applyFill="1" applyBorder="1" applyAlignment="1">
      <alignment horizontal="center" wrapText="1"/>
      <protection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2" fillId="36" borderId="0" xfId="54" applyFill="1" applyBorder="1">
      <alignment/>
      <protection/>
    </xf>
    <xf numFmtId="0" fontId="2" fillId="35" borderId="0" xfId="54" applyFill="1" applyBorder="1">
      <alignment/>
      <protection/>
    </xf>
    <xf numFmtId="3" fontId="51" fillId="33" borderId="14" xfId="54" applyNumberFormat="1" applyFont="1" applyFill="1" applyBorder="1" applyAlignment="1">
      <alignment horizontal="center" wrapText="1"/>
      <protection/>
    </xf>
    <xf numFmtId="3" fontId="11" fillId="33" borderId="17" xfId="54" applyNumberFormat="1" applyFont="1" applyFill="1" applyBorder="1" applyAlignment="1">
      <alignment horizontal="center" wrapText="1"/>
      <protection/>
    </xf>
    <xf numFmtId="3" fontId="51" fillId="33" borderId="17" xfId="54" applyNumberFormat="1" applyFont="1" applyFill="1" applyBorder="1" applyAlignment="1">
      <alignment horizontal="center" wrapText="1"/>
      <protection/>
    </xf>
    <xf numFmtId="180" fontId="8" fillId="35" borderId="16" xfId="54" applyNumberFormat="1" applyFont="1" applyFill="1" applyBorder="1" applyAlignment="1">
      <alignment horizontal="center" wrapText="1"/>
      <protection/>
    </xf>
    <xf numFmtId="177" fontId="8" fillId="35" borderId="16" xfId="54" applyNumberFormat="1" applyFont="1" applyFill="1" applyBorder="1" applyAlignment="1">
      <alignment horizontal="center" wrapText="1"/>
      <protection/>
    </xf>
    <xf numFmtId="177" fontId="8" fillId="35" borderId="15" xfId="54" applyNumberFormat="1" applyFont="1" applyFill="1" applyBorder="1" applyAlignment="1">
      <alignment horizontal="center" wrapText="1"/>
      <protection/>
    </xf>
    <xf numFmtId="180" fontId="8" fillId="35" borderId="17" xfId="54" applyNumberFormat="1" applyFont="1" applyFill="1" applyBorder="1" applyAlignment="1">
      <alignment horizontal="center" wrapText="1"/>
      <protection/>
    </xf>
    <xf numFmtId="0" fontId="12" fillId="35" borderId="16" xfId="54" applyFont="1" applyFill="1" applyBorder="1" applyAlignment="1">
      <alignment horizontal="center" vertical="center" wrapText="1"/>
      <protection/>
    </xf>
    <xf numFmtId="0" fontId="12" fillId="33" borderId="0" xfId="54" applyFont="1" applyFill="1" applyBorder="1" applyAlignment="1">
      <alignment horizontal="center" vertical="center" wrapText="1"/>
      <protection/>
    </xf>
    <xf numFmtId="0" fontId="8" fillId="36" borderId="0" xfId="54" applyFont="1" applyFill="1" applyBorder="1" applyAlignment="1">
      <alignment horizontal="center" wrapText="1"/>
      <protection/>
    </xf>
    <xf numFmtId="0" fontId="12" fillId="33" borderId="15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177" fontId="11" fillId="0" borderId="15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>
      <alignment/>
      <protection/>
    </xf>
    <xf numFmtId="177" fontId="11" fillId="0" borderId="20" xfId="54" applyNumberFormat="1" applyFont="1" applyFill="1" applyBorder="1" applyAlignment="1">
      <alignment horizontal="center" vertical="center" wrapText="1"/>
      <protection/>
    </xf>
    <xf numFmtId="177" fontId="11" fillId="0" borderId="19" xfId="54" applyNumberFormat="1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wrapText="1"/>
      <protection/>
    </xf>
    <xf numFmtId="0" fontId="5" fillId="0" borderId="15" xfId="54" applyFont="1" applyFill="1" applyBorder="1" applyAlignment="1">
      <alignment horizontal="left" wrapText="1"/>
      <protection/>
    </xf>
    <xf numFmtId="0" fontId="51" fillId="0" borderId="14" xfId="54" applyFont="1" applyFill="1" applyBorder="1" applyAlignment="1">
      <alignment horizontal="center" wrapText="1"/>
      <protection/>
    </xf>
    <xf numFmtId="3" fontId="51" fillId="0" borderId="14" xfId="54" applyNumberFormat="1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76" fontId="11" fillId="0" borderId="17" xfId="54" applyNumberFormat="1" applyFont="1" applyFill="1" applyBorder="1" applyAlignment="1">
      <alignment horizontal="center" wrapText="1"/>
      <protection/>
    </xf>
    <xf numFmtId="180" fontId="8" fillId="0" borderId="15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1" fontId="11" fillId="0" borderId="15" xfId="33" applyNumberFormat="1" applyFont="1" applyFill="1" applyBorder="1" applyAlignment="1">
      <alignment horizontal="center" wrapText="1"/>
      <protection/>
    </xf>
    <xf numFmtId="0" fontId="5" fillId="0" borderId="15" xfId="54" applyFont="1" applyFill="1" applyBorder="1" applyAlignment="1">
      <alignment horizontal="center" wrapText="1"/>
      <protection/>
    </xf>
    <xf numFmtId="0" fontId="5" fillId="0" borderId="15" xfId="54" applyFont="1" applyFill="1" applyBorder="1" applyAlignment="1">
      <alignment horizontal="left" wrapText="1"/>
      <protection/>
    </xf>
    <xf numFmtId="0" fontId="12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wrapText="1"/>
      <protection/>
    </xf>
    <xf numFmtId="177" fontId="11" fillId="0" borderId="15" xfId="54" applyNumberFormat="1" applyFont="1" applyFill="1" applyBorder="1" applyAlignment="1">
      <alignment horizontal="center" wrapText="1"/>
      <protection/>
    </xf>
    <xf numFmtId="3" fontId="11" fillId="0" borderId="15" xfId="54" applyNumberFormat="1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wrapText="1"/>
      <protection/>
    </xf>
    <xf numFmtId="3" fontId="51" fillId="0" borderId="21" xfId="54" applyNumberFormat="1" applyFont="1" applyFill="1" applyBorder="1" applyAlignment="1">
      <alignment horizontal="center" wrapText="1"/>
      <protection/>
    </xf>
    <xf numFmtId="3" fontId="11" fillId="0" borderId="18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2" fontId="7" fillId="0" borderId="18" xfId="54" applyNumberFormat="1" applyFont="1" applyFill="1" applyBorder="1" applyAlignment="1">
      <alignment wrapText="1"/>
      <protection/>
    </xf>
    <xf numFmtId="0" fontId="7" fillId="0" borderId="11" xfId="54" applyFont="1" applyFill="1" applyBorder="1" applyAlignment="1">
      <alignment wrapText="1"/>
      <protection/>
    </xf>
    <xf numFmtId="3" fontId="7" fillId="0" borderId="11" xfId="54" applyNumberFormat="1" applyFont="1" applyFill="1" applyBorder="1" applyAlignment="1">
      <alignment wrapText="1"/>
      <protection/>
    </xf>
    <xf numFmtId="3" fontId="10" fillId="0" borderId="11" xfId="54" applyNumberFormat="1" applyFont="1" applyFill="1" applyBorder="1" applyAlignment="1">
      <alignment horizontal="center" wrapText="1"/>
      <protection/>
    </xf>
    <xf numFmtId="3" fontId="10" fillId="0" borderId="22" xfId="54" applyNumberFormat="1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8" fillId="0" borderId="0" xfId="54" applyFont="1" applyFill="1" applyAlignment="1">
      <alignment horizontal="center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6" xfId="54" applyNumberFormat="1" applyFont="1" applyFill="1" applyBorder="1" applyAlignment="1">
      <alignment horizontal="center" wrapText="1"/>
      <protection/>
    </xf>
    <xf numFmtId="1" fontId="11" fillId="0" borderId="16" xfId="33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5" xfId="60" applyNumberFormat="1" applyFont="1" applyFill="1" applyBorder="1" applyAlignment="1">
      <alignment horizontal="center" wrapText="1"/>
    </xf>
    <xf numFmtId="1" fontId="11" fillId="0" borderId="16" xfId="60" applyNumberFormat="1" applyFont="1" applyFill="1" applyBorder="1" applyAlignment="1">
      <alignment horizontal="center" wrapText="1"/>
    </xf>
    <xf numFmtId="3" fontId="8" fillId="0" borderId="0" xfId="54" applyNumberFormat="1" applyFont="1" applyFill="1" applyBorder="1" applyAlignment="1">
      <alignment wrapText="1"/>
      <protection/>
    </xf>
    <xf numFmtId="177" fontId="13" fillId="0" borderId="16" xfId="54" applyNumberFormat="1" applyFont="1" applyFill="1" applyBorder="1" applyAlignment="1">
      <alignment horizontal="center" vertical="center" wrapText="1"/>
      <protection/>
    </xf>
    <xf numFmtId="177" fontId="13" fillId="0" borderId="17" xfId="54" applyNumberFormat="1" applyFont="1" applyFill="1" applyBorder="1" applyAlignment="1">
      <alignment horizontal="center" vertical="center" wrapText="1"/>
      <protection/>
    </xf>
    <xf numFmtId="177" fontId="13" fillId="0" borderId="14" xfId="54" applyNumberFormat="1" applyFont="1" applyFill="1" applyBorder="1" applyAlignment="1">
      <alignment horizontal="center" vertical="center" wrapText="1"/>
      <protection/>
    </xf>
    <xf numFmtId="177" fontId="13" fillId="0" borderId="19" xfId="54" applyNumberFormat="1" applyFont="1" applyFill="1" applyBorder="1" applyAlignment="1">
      <alignment horizontal="center" vertical="center" wrapText="1"/>
      <protection/>
    </xf>
    <xf numFmtId="177" fontId="13" fillId="0" borderId="23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left"/>
      <protection/>
    </xf>
    <xf numFmtId="0" fontId="11" fillId="0" borderId="17" xfId="54" applyFont="1" applyFill="1" applyBorder="1" applyAlignment="1">
      <alignment horizontal="center"/>
      <protection/>
    </xf>
    <xf numFmtId="0" fontId="11" fillId="0" borderId="14" xfId="54" applyFont="1" applyFill="1" applyBorder="1" applyAlignment="1">
      <alignment horizontal="center"/>
      <protection/>
    </xf>
    <xf numFmtId="1" fontId="11" fillId="0" borderId="17" xfId="54" applyNumberFormat="1" applyFont="1" applyFill="1" applyBorder="1" applyAlignment="1">
      <alignment horizontal="center"/>
      <protection/>
    </xf>
    <xf numFmtId="0" fontId="11" fillId="0" borderId="15" xfId="54" applyFont="1" applyFill="1" applyBorder="1" applyAlignment="1">
      <alignment horizontal="center"/>
      <protection/>
    </xf>
    <xf numFmtId="0" fontId="11" fillId="0" borderId="16" xfId="54" applyFont="1" applyFill="1" applyBorder="1" applyAlignment="1">
      <alignment horizontal="center"/>
      <protection/>
    </xf>
    <xf numFmtId="3" fontId="8" fillId="0" borderId="15" xfId="54" applyNumberFormat="1" applyFont="1" applyFill="1" applyBorder="1" applyAlignment="1">
      <alignment horizontal="center"/>
      <protection/>
    </xf>
    <xf numFmtId="176" fontId="8" fillId="0" borderId="15" xfId="54" applyNumberFormat="1" applyFont="1" applyFill="1" applyBorder="1" applyAlignment="1">
      <alignment horizontal="center"/>
      <protection/>
    </xf>
    <xf numFmtId="180" fontId="8" fillId="0" borderId="15" xfId="54" applyNumberFormat="1" applyFont="1" applyFill="1" applyBorder="1" applyAlignment="1">
      <alignment horizontal="center"/>
      <protection/>
    </xf>
    <xf numFmtId="180" fontId="14" fillId="0" borderId="15" xfId="0" applyNumberFormat="1" applyFont="1" applyFill="1" applyBorder="1" applyAlignment="1">
      <alignment vertical="distributed"/>
    </xf>
    <xf numFmtId="180" fontId="8" fillId="0" borderId="15" xfId="54" applyNumberFormat="1" applyFont="1" applyFill="1" applyBorder="1">
      <alignment/>
      <protection/>
    </xf>
    <xf numFmtId="176" fontId="8" fillId="0" borderId="0" xfId="54" applyNumberFormat="1" applyFont="1" applyFill="1">
      <alignment/>
      <protection/>
    </xf>
    <xf numFmtId="0" fontId="5" fillId="0" borderId="15" xfId="54" applyFont="1" applyFill="1" applyBorder="1" applyAlignment="1">
      <alignment horizontal="center"/>
      <protection/>
    </xf>
    <xf numFmtId="3" fontId="5" fillId="0" borderId="16" xfId="54" applyNumberFormat="1" applyFont="1" applyFill="1" applyBorder="1" applyAlignment="1">
      <alignment horizontal="center"/>
      <protection/>
    </xf>
    <xf numFmtId="0" fontId="11" fillId="0" borderId="16" xfId="33" applyFont="1" applyFill="1" applyBorder="1" applyAlignment="1">
      <alignment horizontal="center"/>
      <protection/>
    </xf>
    <xf numFmtId="0" fontId="11" fillId="0" borderId="15" xfId="33" applyFont="1" applyFill="1" applyBorder="1" applyAlignment="1">
      <alignment horizontal="center"/>
      <protection/>
    </xf>
    <xf numFmtId="1" fontId="11" fillId="0" borderId="17" xfId="33" applyNumberFormat="1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left"/>
      <protection/>
    </xf>
    <xf numFmtId="3" fontId="5" fillId="0" borderId="16" xfId="54" applyNumberFormat="1" applyFont="1" applyFill="1" applyBorder="1" applyAlignment="1">
      <alignment horizontal="center"/>
      <protection/>
    </xf>
    <xf numFmtId="0" fontId="12" fillId="0" borderId="0" xfId="54" applyFont="1" applyFill="1">
      <alignment/>
      <protection/>
    </xf>
    <xf numFmtId="0" fontId="5" fillId="0" borderId="15" xfId="54" applyFont="1" applyFill="1" applyBorder="1" applyAlignment="1">
      <alignment vertical="top" wrapText="1"/>
      <protection/>
    </xf>
    <xf numFmtId="3" fontId="5" fillId="0" borderId="16" xfId="54" applyNumberFormat="1" applyFont="1" applyFill="1" applyBorder="1" applyAlignment="1">
      <alignment horizontal="center" vertical="top" wrapText="1"/>
      <protection/>
    </xf>
    <xf numFmtId="3" fontId="5" fillId="0" borderId="16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/>
      <protection/>
    </xf>
    <xf numFmtId="0" fontId="11" fillId="0" borderId="16" xfId="54" applyFont="1" applyFill="1" applyBorder="1" applyAlignment="1">
      <alignment horizontal="center" wrapText="1"/>
      <protection/>
    </xf>
    <xf numFmtId="0" fontId="11" fillId="0" borderId="15" xfId="54" applyFont="1" applyFill="1" applyBorder="1" applyAlignment="1">
      <alignment horizontal="center" wrapText="1"/>
      <protection/>
    </xf>
    <xf numFmtId="171" fontId="11" fillId="0" borderId="16" xfId="63" applyFont="1" applyFill="1" applyBorder="1" applyAlignment="1">
      <alignment horizontal="center"/>
    </xf>
    <xf numFmtId="1" fontId="11" fillId="0" borderId="16" xfId="54" applyNumberFormat="1" applyFont="1" applyFill="1" applyBorder="1" applyAlignment="1">
      <alignment horizontal="center" vertical="top" wrapText="1"/>
      <protection/>
    </xf>
    <xf numFmtId="3" fontId="11" fillId="0" borderId="16" xfId="54" applyNumberFormat="1" applyFont="1" applyFill="1" applyBorder="1" applyAlignment="1">
      <alignment horizontal="center"/>
      <protection/>
    </xf>
    <xf numFmtId="3" fontId="11" fillId="0" borderId="15" xfId="54" applyNumberFormat="1" applyFont="1" applyFill="1" applyBorder="1" applyAlignment="1">
      <alignment horizontal="center"/>
      <protection/>
    </xf>
    <xf numFmtId="3" fontId="11" fillId="0" borderId="17" xfId="54" applyNumberFormat="1" applyFont="1" applyFill="1" applyBorder="1" applyAlignment="1">
      <alignment horizontal="center"/>
      <protection/>
    </xf>
    <xf numFmtId="182" fontId="8" fillId="0" borderId="15" xfId="54" applyNumberFormat="1" applyFont="1" applyFill="1" applyBorder="1" applyAlignment="1">
      <alignment horizontal="center"/>
      <protection/>
    </xf>
    <xf numFmtId="0" fontId="5" fillId="0" borderId="18" xfId="54" applyFont="1" applyFill="1" applyBorder="1" applyAlignment="1">
      <alignment vertical="top" wrapText="1"/>
      <protection/>
    </xf>
    <xf numFmtId="3" fontId="5" fillId="0" borderId="15" xfId="54" applyNumberFormat="1" applyFont="1" applyFill="1" applyBorder="1" applyAlignment="1">
      <alignment horizontal="center" vertical="top" wrapText="1"/>
      <protection/>
    </xf>
    <xf numFmtId="180" fontId="0" fillId="0" borderId="15" xfId="0" applyNumberFormat="1" applyFill="1" applyBorder="1" applyAlignment="1">
      <alignment vertical="distributed"/>
    </xf>
    <xf numFmtId="2" fontId="7" fillId="0" borderId="21" xfId="54" applyNumberFormat="1" applyFont="1" applyFill="1" applyBorder="1" applyAlignment="1">
      <alignment horizontal="center" wrapText="1"/>
      <protection/>
    </xf>
    <xf numFmtId="3" fontId="10" fillId="0" borderId="24" xfId="54" applyNumberFormat="1" applyFont="1" applyFill="1" applyBorder="1" applyAlignment="1">
      <alignment horizontal="center" wrapText="1"/>
      <protection/>
    </xf>
    <xf numFmtId="3" fontId="10" fillId="0" borderId="25" xfId="54" applyNumberFormat="1" applyFont="1" applyFill="1" applyBorder="1" applyAlignment="1">
      <alignment horizontal="center" wrapText="1"/>
      <protection/>
    </xf>
    <xf numFmtId="0" fontId="8" fillId="0" borderId="15" xfId="54" applyFont="1" applyFill="1" applyBorder="1" applyAlignment="1">
      <alignment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0" fontId="0" fillId="0" borderId="0" xfId="54" applyFont="1" applyFill="1">
      <alignment/>
      <protection/>
    </xf>
    <xf numFmtId="3" fontId="8" fillId="0" borderId="0" xfId="54" applyNumberFormat="1" applyFont="1" applyFill="1" applyBorder="1">
      <alignment/>
      <protection/>
    </xf>
    <xf numFmtId="180" fontId="11" fillId="0" borderId="14" xfId="0" applyNumberFormat="1" applyFont="1" applyFill="1" applyBorder="1" applyAlignment="1">
      <alignment vertical="center" wrapText="1"/>
    </xf>
    <xf numFmtId="3" fontId="5" fillId="0" borderId="15" xfId="54" applyNumberFormat="1" applyFont="1" applyFill="1" applyBorder="1" applyAlignment="1">
      <alignment horizontal="center"/>
      <protection/>
    </xf>
    <xf numFmtId="0" fontId="8" fillId="0" borderId="15" xfId="54" applyFont="1" applyFill="1" applyBorder="1" applyAlignment="1">
      <alignment horizontal="center"/>
      <protection/>
    </xf>
    <xf numFmtId="3" fontId="5" fillId="0" borderId="15" xfId="54" applyNumberFormat="1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center"/>
      <protection/>
    </xf>
    <xf numFmtId="3" fontId="5" fillId="0" borderId="15" xfId="54" applyNumberFormat="1" applyFont="1" applyFill="1" applyBorder="1" applyAlignment="1">
      <alignment horizontal="center" wrapText="1"/>
      <protection/>
    </xf>
    <xf numFmtId="180" fontId="8" fillId="0" borderId="15" xfId="54" applyNumberFormat="1" applyFont="1" applyFill="1" applyBorder="1" applyAlignment="1">
      <alignment/>
      <protection/>
    </xf>
    <xf numFmtId="3" fontId="11" fillId="0" borderId="18" xfId="54" applyNumberFormat="1" applyFont="1" applyFill="1" applyBorder="1" applyAlignment="1">
      <alignment horizontal="center"/>
      <protection/>
    </xf>
    <xf numFmtId="3" fontId="10" fillId="0" borderId="15" xfId="54" applyNumberFormat="1" applyFont="1" applyFill="1" applyBorder="1" applyAlignment="1">
      <alignment horizontal="center" wrapText="1"/>
      <protection/>
    </xf>
    <xf numFmtId="0" fontId="8" fillId="0" borderId="15" xfId="54" applyFont="1" applyFill="1" applyBorder="1" applyAlignment="1">
      <alignment wrapText="1"/>
      <protection/>
    </xf>
    <xf numFmtId="180" fontId="8" fillId="0" borderId="15" xfId="54" applyNumberFormat="1" applyFont="1" applyFill="1" applyBorder="1" applyAlignment="1">
      <alignment wrapText="1"/>
      <protection/>
    </xf>
    <xf numFmtId="4" fontId="8" fillId="0" borderId="0" xfId="54" applyNumberFormat="1" applyFont="1" applyFill="1" applyAlignment="1">
      <alignment horizontal="center"/>
      <protection/>
    </xf>
    <xf numFmtId="0" fontId="13" fillId="0" borderId="16" xfId="54" applyFont="1" applyFill="1" applyBorder="1" applyAlignment="1">
      <alignment horizontal="center" vertical="center" wrapText="1"/>
      <protection/>
    </xf>
    <xf numFmtId="177" fontId="13" fillId="0" borderId="18" xfId="54" applyNumberFormat="1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/>
      <protection/>
    </xf>
    <xf numFmtId="180" fontId="8" fillId="0" borderId="16" xfId="54" applyNumberFormat="1" applyFont="1" applyFill="1" applyBorder="1" applyAlignment="1">
      <alignment horizontal="center"/>
      <protection/>
    </xf>
    <xf numFmtId="3" fontId="5" fillId="0" borderId="26" xfId="54" applyNumberFormat="1" applyFont="1" applyFill="1" applyBorder="1" applyAlignment="1">
      <alignment horizontal="center" vertical="top" wrapText="1"/>
      <protection/>
    </xf>
    <xf numFmtId="3" fontId="11" fillId="0" borderId="26" xfId="54" applyNumberFormat="1" applyFont="1" applyFill="1" applyBorder="1" applyAlignment="1">
      <alignment horizontal="center"/>
      <protection/>
    </xf>
    <xf numFmtId="2" fontId="7" fillId="0" borderId="15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Alignment="1">
      <alignment horizontal="center"/>
      <protection/>
    </xf>
    <xf numFmtId="180" fontId="8" fillId="0" borderId="0" xfId="54" applyNumberFormat="1" applyFont="1" applyFill="1">
      <alignment/>
      <protection/>
    </xf>
    <xf numFmtId="3" fontId="8" fillId="0" borderId="0" xfId="54" applyNumberFormat="1" applyFont="1" applyFill="1" applyAlignment="1">
      <alignment horizontal="center"/>
      <protection/>
    </xf>
    <xf numFmtId="177" fontId="5" fillId="0" borderId="0" xfId="54" applyNumberFormat="1" applyFont="1" applyFill="1" applyBorder="1" applyAlignment="1">
      <alignment vertical="center" wrapText="1"/>
      <protection/>
    </xf>
    <xf numFmtId="180" fontId="11" fillId="0" borderId="0" xfId="0" applyNumberFormat="1" applyFont="1" applyFill="1" applyBorder="1" applyAlignment="1">
      <alignment vertical="center" wrapText="1"/>
    </xf>
    <xf numFmtId="177" fontId="13" fillId="0" borderId="15" xfId="54" applyNumberFormat="1" applyFont="1" applyFill="1" applyBorder="1" applyAlignment="1">
      <alignment horizontal="center" vertical="center" wrapText="1"/>
      <protection/>
    </xf>
    <xf numFmtId="1" fontId="8" fillId="0" borderId="15" xfId="54" applyNumberFormat="1" applyFont="1" applyFill="1" applyBorder="1" applyAlignment="1">
      <alignment horizontal="center"/>
      <protection/>
    </xf>
    <xf numFmtId="180" fontId="52" fillId="0" borderId="15" xfId="54" applyNumberFormat="1" applyFont="1" applyFill="1" applyBorder="1" applyAlignment="1">
      <alignment horizontal="center"/>
      <protection/>
    </xf>
    <xf numFmtId="180" fontId="12" fillId="0" borderId="15" xfId="54" applyNumberFormat="1" applyFont="1" applyFill="1" applyBorder="1">
      <alignment/>
      <protection/>
    </xf>
    <xf numFmtId="3" fontId="5" fillId="0" borderId="18" xfId="54" applyNumberFormat="1" applyFont="1" applyFill="1" applyBorder="1" applyAlignment="1">
      <alignment horizontal="center" vertical="top" wrapText="1"/>
      <protection/>
    </xf>
    <xf numFmtId="180" fontId="10" fillId="0" borderId="24" xfId="54" applyNumberFormat="1" applyFont="1" applyFill="1" applyBorder="1" applyAlignment="1">
      <alignment horizontal="center" wrapText="1"/>
      <protection/>
    </xf>
    <xf numFmtId="3" fontId="5" fillId="0" borderId="15" xfId="54" applyNumberFormat="1" applyFont="1" applyFill="1" applyBorder="1" applyAlignment="1">
      <alignment horizontal="center" vertical="center" wrapText="1"/>
      <protection/>
    </xf>
    <xf numFmtId="176" fontId="8" fillId="0" borderId="16" xfId="54" applyNumberFormat="1" applyFont="1" applyFill="1" applyBorder="1" applyAlignment="1">
      <alignment horizontal="center"/>
      <protection/>
    </xf>
    <xf numFmtId="180" fontId="0" fillId="33" borderId="15" xfId="0" applyNumberFormat="1" applyFill="1" applyBorder="1" applyAlignment="1">
      <alignment vertical="distributed"/>
    </xf>
    <xf numFmtId="180" fontId="0" fillId="19" borderId="15" xfId="0" applyNumberFormat="1" applyFill="1" applyBorder="1" applyAlignment="1">
      <alignment vertical="distributed"/>
    </xf>
    <xf numFmtId="0" fontId="11" fillId="0" borderId="0" xfId="54" applyFont="1" applyFill="1" applyBorder="1" applyAlignment="1">
      <alignment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wrapText="1"/>
      <protection/>
    </xf>
    <xf numFmtId="180" fontId="8" fillId="0" borderId="17" xfId="54" applyNumberFormat="1" applyFont="1" applyFill="1" applyBorder="1" applyAlignment="1">
      <alignment horizontal="center"/>
      <protection/>
    </xf>
    <xf numFmtId="180" fontId="8" fillId="0" borderId="0" xfId="54" applyNumberFormat="1" applyFont="1" applyFill="1" applyBorder="1" applyAlignment="1">
      <alignment horizontal="center"/>
      <protection/>
    </xf>
    <xf numFmtId="180" fontId="8" fillId="0" borderId="0" xfId="54" applyNumberFormat="1" applyFont="1" applyFill="1" applyBorder="1">
      <alignment/>
      <protection/>
    </xf>
    <xf numFmtId="176" fontId="8" fillId="0" borderId="0" xfId="54" applyNumberFormat="1" applyFont="1" applyFill="1" applyBorder="1">
      <alignment/>
      <protection/>
    </xf>
    <xf numFmtId="4" fontId="8" fillId="0" borderId="0" xfId="54" applyNumberFormat="1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180" fontId="8" fillId="0" borderId="0" xfId="54" applyNumberFormat="1" applyFont="1" applyFill="1" applyBorder="1" applyAlignment="1">
      <alignment horizontal="center" wrapText="1"/>
      <protection/>
    </xf>
    <xf numFmtId="0" fontId="8" fillId="0" borderId="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vertical="top" wrapText="1"/>
      <protection/>
    </xf>
    <xf numFmtId="0" fontId="8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177" fontId="11" fillId="0" borderId="16" xfId="54" applyNumberFormat="1" applyFont="1" applyFill="1" applyBorder="1" applyAlignment="1">
      <alignment horizontal="center" vertical="center" wrapText="1"/>
      <protection/>
    </xf>
    <xf numFmtId="177" fontId="11" fillId="0" borderId="27" xfId="54" applyNumberFormat="1" applyFont="1" applyFill="1" applyBorder="1" applyAlignment="1">
      <alignment horizontal="center" vertical="center" wrapText="1"/>
      <protection/>
    </xf>
    <xf numFmtId="177" fontId="11" fillId="0" borderId="2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1" fillId="0" borderId="21" xfId="54" applyFont="1" applyFill="1" applyBorder="1" applyAlignment="1">
      <alignment horizontal="center" vertical="center" wrapText="1"/>
      <protection/>
    </xf>
    <xf numFmtId="177" fontId="11" fillId="0" borderId="15" xfId="54" applyNumberFormat="1" applyFont="1" applyFill="1" applyBorder="1" applyAlignment="1">
      <alignment horizontal="center" vertical="center" wrapText="1"/>
      <protection/>
    </xf>
    <xf numFmtId="177" fontId="5" fillId="0" borderId="18" xfId="54" applyNumberFormat="1" applyFont="1" applyFill="1" applyBorder="1" applyAlignment="1">
      <alignment horizontal="center" vertical="center" wrapText="1"/>
      <protection/>
    </xf>
    <xf numFmtId="177" fontId="5" fillId="0" borderId="21" xfId="54" applyNumberFormat="1" applyFont="1" applyFill="1" applyBorder="1" applyAlignment="1">
      <alignment horizontal="center" vertical="center" wrapText="1"/>
      <protection/>
    </xf>
    <xf numFmtId="177" fontId="5" fillId="0" borderId="14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11" fillId="0" borderId="14" xfId="54" applyFont="1" applyFill="1" applyBorder="1" applyAlignment="1">
      <alignment horizontal="center" vertical="center" wrapText="1"/>
      <protection/>
    </xf>
    <xf numFmtId="177" fontId="11" fillId="0" borderId="23" xfId="54" applyNumberFormat="1" applyFont="1" applyFill="1" applyBorder="1" applyAlignment="1">
      <alignment horizontal="center" vertical="center" wrapText="1"/>
      <protection/>
    </xf>
    <xf numFmtId="177" fontId="11" fillId="0" borderId="19" xfId="54" applyNumberFormat="1" applyFont="1" applyFill="1" applyBorder="1" applyAlignment="1">
      <alignment horizontal="center" vertical="center" wrapText="1"/>
      <protection/>
    </xf>
    <xf numFmtId="0" fontId="11" fillId="0" borderId="18" xfId="54" applyFont="1" applyFill="1" applyBorder="1" applyAlignment="1">
      <alignment horizontal="center" vertical="center"/>
      <protection/>
    </xf>
    <xf numFmtId="0" fontId="11" fillId="0" borderId="21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center" vertical="center"/>
      <protection/>
    </xf>
    <xf numFmtId="180" fontId="11" fillId="0" borderId="15" xfId="0" applyNumberFormat="1" applyFont="1" applyFill="1" applyBorder="1" applyAlignment="1">
      <alignment horizontal="center" vertical="center" wrapText="1"/>
    </xf>
    <xf numFmtId="0" fontId="8" fillId="33" borderId="0" xfId="54" applyFont="1" applyFill="1" applyAlignment="1">
      <alignment horizontal="center"/>
      <protection/>
    </xf>
    <xf numFmtId="177" fontId="5" fillId="33" borderId="18" xfId="54" applyNumberFormat="1" applyFont="1" applyFill="1" applyBorder="1" applyAlignment="1">
      <alignment horizontal="center" vertical="center" wrapText="1"/>
      <protection/>
    </xf>
    <xf numFmtId="177" fontId="5" fillId="33" borderId="21" xfId="54" applyNumberFormat="1" applyFont="1" applyFill="1" applyBorder="1" applyAlignment="1">
      <alignment horizontal="center" vertical="center" wrapText="1"/>
      <protection/>
    </xf>
    <xf numFmtId="177" fontId="5" fillId="33" borderId="14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1" fillId="33" borderId="15" xfId="54" applyNumberFormat="1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/>
      <protection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27" xfId="54" applyNumberFormat="1" applyFont="1" applyFill="1" applyBorder="1" applyAlignment="1">
      <alignment horizontal="center" vertical="center" wrapText="1"/>
      <protection/>
    </xf>
    <xf numFmtId="0" fontId="11" fillId="33" borderId="18" xfId="54" applyFont="1" applyFill="1" applyBorder="1" applyAlignment="1">
      <alignment horizontal="center" vertical="center"/>
      <protection/>
    </xf>
    <xf numFmtId="0" fontId="11" fillId="33" borderId="21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1" fillId="33" borderId="18" xfId="54" applyFont="1" applyFill="1" applyBorder="1" applyAlignment="1">
      <alignment horizontal="center" vertical="center" wrapText="1"/>
      <protection/>
    </xf>
    <xf numFmtId="0" fontId="11" fillId="33" borderId="21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center" vertical="center" wrapText="1"/>
      <protection/>
    </xf>
    <xf numFmtId="180" fontId="11" fillId="33" borderId="15" xfId="0" applyNumberFormat="1" applyFont="1" applyFill="1" applyBorder="1" applyAlignment="1">
      <alignment horizontal="center" vertical="center" wrapText="1"/>
    </xf>
    <xf numFmtId="180" fontId="11" fillId="33" borderId="26" xfId="0" applyNumberFormat="1" applyFont="1" applyFill="1" applyBorder="1" applyAlignment="1">
      <alignment horizontal="center" vertical="center" wrapText="1"/>
    </xf>
    <xf numFmtId="180" fontId="11" fillId="33" borderId="28" xfId="0" applyNumberFormat="1" applyFont="1" applyFill="1" applyBorder="1" applyAlignment="1">
      <alignment horizontal="center" vertical="center" wrapText="1"/>
    </xf>
    <xf numFmtId="180" fontId="11" fillId="33" borderId="29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23" xfId="0" applyNumberFormat="1" applyFont="1" applyFill="1" applyBorder="1" applyAlignment="1">
      <alignment horizontal="center" vertical="center" wrapText="1"/>
    </xf>
    <xf numFmtId="180" fontId="11" fillId="33" borderId="19" xfId="0" applyNumberFormat="1" applyFont="1" applyFill="1" applyBorder="1" applyAlignment="1">
      <alignment horizontal="center" vertical="center" wrapText="1"/>
    </xf>
    <xf numFmtId="177" fontId="13" fillId="0" borderId="16" xfId="54" applyNumberFormat="1" applyFont="1" applyFill="1" applyBorder="1" applyAlignment="1">
      <alignment horizontal="center" vertical="center" wrapText="1"/>
      <protection/>
    </xf>
    <xf numFmtId="177" fontId="13" fillId="0" borderId="27" xfId="54" applyNumberFormat="1" applyFont="1" applyFill="1" applyBorder="1" applyAlignment="1">
      <alignment horizontal="center" vertical="center" wrapText="1"/>
      <protection/>
    </xf>
    <xf numFmtId="180" fontId="11" fillId="0" borderId="18" xfId="0" applyNumberFormat="1" applyFont="1" applyFill="1" applyBorder="1" applyAlignment="1">
      <alignment horizontal="center" vertical="center" wrapText="1"/>
    </xf>
    <xf numFmtId="180" fontId="11" fillId="0" borderId="21" xfId="0" applyNumberFormat="1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 wrapText="1"/>
    </xf>
    <xf numFmtId="177" fontId="11" fillId="0" borderId="18" xfId="54" applyNumberFormat="1" applyFont="1" applyFill="1" applyBorder="1" applyAlignment="1">
      <alignment horizontal="center" vertical="center" wrapText="1"/>
      <protection/>
    </xf>
    <xf numFmtId="177" fontId="11" fillId="0" borderId="14" xfId="54" applyNumberFormat="1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/>
      <protection/>
    </xf>
    <xf numFmtId="180" fontId="11" fillId="0" borderId="26" xfId="0" applyNumberFormat="1" applyFont="1" applyFill="1" applyBorder="1" applyAlignment="1">
      <alignment horizontal="center" vertical="center" wrapText="1"/>
    </xf>
    <xf numFmtId="180" fontId="11" fillId="0" borderId="22" xfId="0" applyNumberFormat="1" applyFont="1" applyFill="1" applyBorder="1" applyAlignment="1">
      <alignment horizontal="center" vertical="center" wrapText="1"/>
    </xf>
    <xf numFmtId="180" fontId="11" fillId="0" borderId="17" xfId="0" applyNumberFormat="1" applyFont="1" applyFill="1" applyBorder="1" applyAlignment="1">
      <alignment horizontal="center" vertical="center" wrapText="1"/>
    </xf>
    <xf numFmtId="0" fontId="13" fillId="0" borderId="16" xfId="54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177" fontId="5" fillId="0" borderId="15" xfId="54" applyNumberFormat="1" applyFont="1" applyFill="1" applyBorder="1" applyAlignment="1">
      <alignment horizontal="center" vertical="center" wrapText="1"/>
      <protection/>
    </xf>
    <xf numFmtId="177" fontId="11" fillId="0" borderId="26" xfId="54" applyNumberFormat="1" applyFont="1" applyFill="1" applyBorder="1" applyAlignment="1">
      <alignment horizontal="center" vertical="center" wrapText="1"/>
      <protection/>
    </xf>
    <xf numFmtId="177" fontId="11" fillId="0" borderId="17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60;&#1054;%20&#1085;&#1072;%2001.01.2020-2%20&#1101;&#1090;&#1072;&#10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60;&#1054;%20&#1085;&#1072;%2001.01.2020-&#1084;&#1072;&#1090;&#1079;&#1072;&#1090;&#1088;&#107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-началка"/>
      <sheetName val="Школы-основная"/>
      <sheetName val="Школы-средняя"/>
      <sheetName val="Допобразование"/>
      <sheetName val="Коррекция"/>
      <sheetName val="ППК"/>
      <sheetName val="Работы"/>
      <sheetName val="Свод "/>
      <sheetName val="Свод в приказ"/>
    </sheetNames>
    <sheetDataSet>
      <sheetData sheetId="8">
        <row r="5">
          <cell r="C5">
            <v>15742.2</v>
          </cell>
        </row>
        <row r="6">
          <cell r="C6">
            <v>28619.9</v>
          </cell>
        </row>
        <row r="7">
          <cell r="C7">
            <v>21118.8</v>
          </cell>
        </row>
        <row r="8">
          <cell r="C8">
            <v>14860.1</v>
          </cell>
        </row>
        <row r="9">
          <cell r="C9">
            <v>10345.199999999999</v>
          </cell>
        </row>
        <row r="10">
          <cell r="C10">
            <v>22358.800000000003</v>
          </cell>
        </row>
        <row r="11">
          <cell r="C11">
            <v>26730.4</v>
          </cell>
        </row>
        <row r="12">
          <cell r="C12">
            <v>25707.5</v>
          </cell>
        </row>
        <row r="13">
          <cell r="C13">
            <v>4530.200000000001</v>
          </cell>
        </row>
        <row r="14">
          <cell r="C14">
            <v>10783.6</v>
          </cell>
        </row>
        <row r="15">
          <cell r="C15">
            <v>11570.899999999998</v>
          </cell>
        </row>
        <row r="16">
          <cell r="C16">
            <v>13082.4</v>
          </cell>
        </row>
        <row r="17">
          <cell r="C17">
            <v>24903.2</v>
          </cell>
        </row>
        <row r="18">
          <cell r="C18">
            <v>7105</v>
          </cell>
        </row>
        <row r="19">
          <cell r="C19">
            <v>18298.800000000003</v>
          </cell>
        </row>
        <row r="20">
          <cell r="C20">
            <v>9199.7</v>
          </cell>
        </row>
        <row r="21">
          <cell r="C21">
            <v>4320.999999999999</v>
          </cell>
        </row>
        <row r="22">
          <cell r="C22">
            <v>5160.3</v>
          </cell>
        </row>
        <row r="23">
          <cell r="C23">
            <v>13210.2</v>
          </cell>
        </row>
        <row r="24">
          <cell r="C24">
            <v>18833.200000000004</v>
          </cell>
        </row>
        <row r="25">
          <cell r="C25">
            <v>6582.6</v>
          </cell>
        </row>
        <row r="26">
          <cell r="C26">
            <v>11770.699999999999</v>
          </cell>
        </row>
        <row r="27">
          <cell r="C27">
            <v>8602.199999999999</v>
          </cell>
        </row>
        <row r="28">
          <cell r="C28">
            <v>5253.1</v>
          </cell>
        </row>
        <row r="29">
          <cell r="C29">
            <v>6046.200000000001</v>
          </cell>
        </row>
        <row r="30">
          <cell r="C30">
            <v>7002.6</v>
          </cell>
        </row>
        <row r="31">
          <cell r="C31">
            <v>9314.700000000003</v>
          </cell>
        </row>
        <row r="32">
          <cell r="C32">
            <v>4846.500000000001</v>
          </cell>
        </row>
        <row r="33">
          <cell r="C33">
            <v>9024.3</v>
          </cell>
        </row>
        <row r="34">
          <cell r="C34">
            <v>5866.200000000001</v>
          </cell>
        </row>
        <row r="35">
          <cell r="C35">
            <v>8690.400000000001</v>
          </cell>
        </row>
        <row r="36">
          <cell r="C36">
            <v>7262.499999999999</v>
          </cell>
        </row>
        <row r="37">
          <cell r="C37">
            <v>5897.299999999999</v>
          </cell>
        </row>
        <row r="38">
          <cell r="C38">
            <v>11935.3</v>
          </cell>
        </row>
        <row r="39">
          <cell r="C39">
            <v>12683.1</v>
          </cell>
        </row>
        <row r="40">
          <cell r="C40">
            <v>8538.7</v>
          </cell>
        </row>
        <row r="41">
          <cell r="C41">
            <v>6515.700000000001</v>
          </cell>
        </row>
        <row r="42">
          <cell r="C42">
            <v>4851.499999999999</v>
          </cell>
        </row>
        <row r="43">
          <cell r="C43">
            <v>6415.400000000001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-началка"/>
      <sheetName val="Школы-основная"/>
      <sheetName val="Школы-средняя"/>
      <sheetName val="Допобразование"/>
      <sheetName val="Коррекция"/>
      <sheetName val="ППК"/>
      <sheetName val="Работы"/>
      <sheetName val="Свод"/>
    </sheetNames>
    <sheetDataSet>
      <sheetData sheetId="7">
        <row r="7">
          <cell r="C7">
            <v>3355.8</v>
          </cell>
        </row>
        <row r="8">
          <cell r="C8">
            <v>9145.6</v>
          </cell>
        </row>
        <row r="9">
          <cell r="C9">
            <v>3852.9000000000005</v>
          </cell>
        </row>
        <row r="10">
          <cell r="C10">
            <v>3847.3</v>
          </cell>
        </row>
        <row r="11">
          <cell r="C11">
            <v>4361.5</v>
          </cell>
        </row>
        <row r="12">
          <cell r="C12">
            <v>11122.100000000002</v>
          </cell>
        </row>
        <row r="13">
          <cell r="C13">
            <v>9102.3</v>
          </cell>
        </row>
        <row r="14">
          <cell r="C14">
            <v>5824.900000000001</v>
          </cell>
        </row>
        <row r="15">
          <cell r="C15">
            <v>823.9999999999999</v>
          </cell>
        </row>
        <row r="16">
          <cell r="C16">
            <v>3052.4</v>
          </cell>
        </row>
        <row r="17">
          <cell r="C17">
            <v>3535.0000000000005</v>
          </cell>
        </row>
        <row r="18">
          <cell r="C18">
            <v>2223.8999999999996</v>
          </cell>
        </row>
        <row r="19">
          <cell r="C19">
            <v>5590.6</v>
          </cell>
        </row>
        <row r="20">
          <cell r="C20">
            <v>969.4000000000002</v>
          </cell>
        </row>
        <row r="21">
          <cell r="C21">
            <v>2293.7999999999997</v>
          </cell>
        </row>
        <row r="22">
          <cell r="C22">
            <v>1453.6000000000001</v>
          </cell>
        </row>
        <row r="23">
          <cell r="C23">
            <v>753.6999999999999</v>
          </cell>
        </row>
        <row r="24">
          <cell r="C24">
            <v>911.3999999999999</v>
          </cell>
        </row>
        <row r="25">
          <cell r="C25">
            <v>1801.8</v>
          </cell>
        </row>
        <row r="26">
          <cell r="C26">
            <v>4209.1</v>
          </cell>
        </row>
        <row r="27">
          <cell r="C27">
            <v>1403.9</v>
          </cell>
        </row>
        <row r="28">
          <cell r="C28">
            <v>2574.5</v>
          </cell>
        </row>
        <row r="29">
          <cell r="C29">
            <v>2821.2999999999997</v>
          </cell>
        </row>
        <row r="30">
          <cell r="C30">
            <v>873.2</v>
          </cell>
        </row>
        <row r="31">
          <cell r="C31">
            <v>1457.1000000000001</v>
          </cell>
        </row>
        <row r="32">
          <cell r="C32">
            <v>1657.9000000000003</v>
          </cell>
        </row>
        <row r="33">
          <cell r="C33">
            <v>2876.4999999999995</v>
          </cell>
        </row>
        <row r="34">
          <cell r="C34">
            <v>907.8</v>
          </cell>
        </row>
        <row r="35">
          <cell r="C35">
            <v>1490</v>
          </cell>
        </row>
        <row r="36">
          <cell r="C36">
            <v>1118.9</v>
          </cell>
        </row>
        <row r="37">
          <cell r="C37">
            <v>1746.6</v>
          </cell>
        </row>
        <row r="38">
          <cell r="C38">
            <v>1949.6000000000001</v>
          </cell>
        </row>
        <row r="39">
          <cell r="C39">
            <v>855.1999999999999</v>
          </cell>
        </row>
        <row r="40">
          <cell r="C40">
            <v>1668.5</v>
          </cell>
        </row>
        <row r="41">
          <cell r="C41">
            <v>2329.9</v>
          </cell>
        </row>
        <row r="42">
          <cell r="C42">
            <v>2588.5</v>
          </cell>
        </row>
        <row r="43">
          <cell r="C43">
            <v>950.9000000000001</v>
          </cell>
        </row>
        <row r="44">
          <cell r="C44">
            <v>1524.5000000000002</v>
          </cell>
        </row>
        <row r="45">
          <cell r="C45">
            <v>2686.4999999999995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view="pageBreakPreview" zoomScale="71" zoomScaleNormal="74" zoomScaleSheetLayoutView="71" zoomScalePageLayoutView="0" workbookViewId="0" topLeftCell="A1">
      <pane xSplit="2" ySplit="7" topLeftCell="N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8" sqref="N8"/>
    </sheetView>
  </sheetViews>
  <sheetFormatPr defaultColWidth="9.140625" defaultRowHeight="12.75"/>
  <cols>
    <col min="1" max="1" width="9.00390625" style="165" customWidth="1"/>
    <col min="2" max="2" width="20.140625" style="165" customWidth="1"/>
    <col min="3" max="3" width="14.8515625" style="165" customWidth="1"/>
    <col min="4" max="4" width="16.7109375" style="165" customWidth="1"/>
    <col min="5" max="5" width="14.7109375" style="166" customWidth="1"/>
    <col min="6" max="6" width="13.7109375" style="166" customWidth="1"/>
    <col min="7" max="7" width="14.8515625" style="166" customWidth="1"/>
    <col min="8" max="8" width="15.7109375" style="166" customWidth="1"/>
    <col min="9" max="9" width="15.421875" style="166" customWidth="1"/>
    <col min="10" max="10" width="15.28125" style="166" customWidth="1"/>
    <col min="11" max="11" width="16.421875" style="166" customWidth="1"/>
    <col min="12" max="12" width="15.8515625" style="166" customWidth="1"/>
    <col min="13" max="14" width="29.7109375" style="166" customWidth="1"/>
    <col min="15" max="15" width="17.28125" style="159" customWidth="1"/>
    <col min="16" max="16" width="15.140625" style="159" customWidth="1"/>
    <col min="17" max="17" width="15.00390625" style="159" customWidth="1"/>
    <col min="18" max="18" width="12.00390625" style="159" customWidth="1"/>
    <col min="19" max="19" width="15.7109375" style="159" customWidth="1"/>
    <col min="20" max="20" width="14.57421875" style="159" customWidth="1"/>
    <col min="21" max="21" width="13.57421875" style="159" customWidth="1"/>
    <col min="22" max="22" width="19.8515625" style="159" customWidth="1"/>
    <col min="23" max="23" width="20.421875" style="159" customWidth="1"/>
    <col min="24" max="24" width="15.00390625" style="160" customWidth="1"/>
    <col min="25" max="25" width="21.8515625" style="160" customWidth="1"/>
    <col min="26" max="16384" width="9.140625" style="159" customWidth="1"/>
  </cols>
  <sheetData>
    <row r="1" spans="1:25" s="104" customFormat="1" ht="18.7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103"/>
      <c r="N1" s="103"/>
      <c r="P1" s="270" t="s">
        <v>96</v>
      </c>
      <c r="Q1" s="270"/>
      <c r="X1" s="105"/>
      <c r="Y1" s="105"/>
    </row>
    <row r="2" spans="1:25" s="104" customFormat="1" ht="15.75">
      <c r="A2" s="106"/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X2" s="105"/>
      <c r="Y2" s="105"/>
    </row>
    <row r="3" spans="1:25" s="111" customFormat="1" ht="36.75" customHeight="1">
      <c r="A3" s="287" t="s">
        <v>79</v>
      </c>
      <c r="B3" s="277" t="s">
        <v>75</v>
      </c>
      <c r="C3" s="277" t="s">
        <v>76</v>
      </c>
      <c r="D3" s="280" t="s">
        <v>86</v>
      </c>
      <c r="E3" s="279" t="s">
        <v>77</v>
      </c>
      <c r="F3" s="279"/>
      <c r="G3" s="279"/>
      <c r="H3" s="279"/>
      <c r="I3" s="279"/>
      <c r="J3" s="279"/>
      <c r="K3" s="279"/>
      <c r="L3" s="279"/>
      <c r="M3" s="290" t="s">
        <v>83</v>
      </c>
      <c r="N3" s="290" t="s">
        <v>84</v>
      </c>
      <c r="O3" s="290" t="s">
        <v>85</v>
      </c>
      <c r="P3" s="290"/>
      <c r="Q3" s="290"/>
      <c r="R3" s="290"/>
      <c r="S3" s="290"/>
      <c r="T3" s="290"/>
      <c r="U3" s="290"/>
      <c r="V3" s="290"/>
      <c r="W3" s="290"/>
      <c r="X3" s="110"/>
      <c r="Y3" s="110"/>
    </row>
    <row r="4" spans="1:25" s="111" customFormat="1" ht="58.5" customHeight="1">
      <c r="A4" s="288"/>
      <c r="B4" s="278"/>
      <c r="C4" s="278"/>
      <c r="D4" s="281"/>
      <c r="E4" s="272" t="s">
        <v>40</v>
      </c>
      <c r="F4" s="273"/>
      <c r="G4" s="273"/>
      <c r="H4" s="273"/>
      <c r="I4" s="273"/>
      <c r="J4" s="273"/>
      <c r="K4" s="273"/>
      <c r="L4" s="274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75"/>
      <c r="Y4" s="275"/>
    </row>
    <row r="5" spans="1:25" s="111" customFormat="1" ht="65.25" customHeight="1">
      <c r="A5" s="288"/>
      <c r="B5" s="278"/>
      <c r="C5" s="278"/>
      <c r="D5" s="281"/>
      <c r="E5" s="113" t="s">
        <v>55</v>
      </c>
      <c r="F5" s="113" t="s">
        <v>55</v>
      </c>
      <c r="G5" s="113" t="s">
        <v>55</v>
      </c>
      <c r="H5" s="113" t="s">
        <v>43</v>
      </c>
      <c r="I5" s="113" t="s">
        <v>55</v>
      </c>
      <c r="J5" s="113" t="s">
        <v>55</v>
      </c>
      <c r="K5" s="113" t="s">
        <v>43</v>
      </c>
      <c r="L5" s="113" t="s">
        <v>43</v>
      </c>
      <c r="M5" s="290"/>
      <c r="N5" s="290"/>
      <c r="O5" s="285" t="s">
        <v>40</v>
      </c>
      <c r="P5" s="285"/>
      <c r="Q5" s="285"/>
      <c r="R5" s="285"/>
      <c r="S5" s="285"/>
      <c r="T5" s="285"/>
      <c r="U5" s="285"/>
      <c r="V5" s="286"/>
      <c r="W5" s="277" t="s">
        <v>63</v>
      </c>
      <c r="X5" s="275"/>
      <c r="Y5" s="275"/>
    </row>
    <row r="6" spans="1:25" s="111" customFormat="1" ht="77.25" customHeight="1">
      <c r="A6" s="288"/>
      <c r="B6" s="276" t="s">
        <v>74</v>
      </c>
      <c r="C6" s="278"/>
      <c r="D6" s="281"/>
      <c r="E6" s="113" t="s">
        <v>45</v>
      </c>
      <c r="F6" s="113" t="s">
        <v>44</v>
      </c>
      <c r="G6" s="113" t="s">
        <v>46</v>
      </c>
      <c r="H6" s="113" t="s">
        <v>46</v>
      </c>
      <c r="I6" s="113" t="s">
        <v>60</v>
      </c>
      <c r="J6" s="113" t="s">
        <v>58</v>
      </c>
      <c r="K6" s="113" t="s">
        <v>60</v>
      </c>
      <c r="L6" s="113" t="s">
        <v>58</v>
      </c>
      <c r="M6" s="290"/>
      <c r="N6" s="290"/>
      <c r="O6" s="113" t="s">
        <v>55</v>
      </c>
      <c r="P6" s="113" t="s">
        <v>55</v>
      </c>
      <c r="Q6" s="113" t="s">
        <v>55</v>
      </c>
      <c r="R6" s="113" t="s">
        <v>43</v>
      </c>
      <c r="S6" s="113" t="s">
        <v>55</v>
      </c>
      <c r="T6" s="113" t="s">
        <v>55</v>
      </c>
      <c r="U6" s="113" t="s">
        <v>43</v>
      </c>
      <c r="V6" s="113" t="s">
        <v>43</v>
      </c>
      <c r="W6" s="278"/>
      <c r="X6" s="275"/>
      <c r="Y6" s="275"/>
    </row>
    <row r="7" spans="1:25" s="111" customFormat="1" ht="75.75" customHeight="1">
      <c r="A7" s="289"/>
      <c r="B7" s="276"/>
      <c r="C7" s="284"/>
      <c r="D7" s="282"/>
      <c r="E7" s="113" t="s">
        <v>73</v>
      </c>
      <c r="F7" s="113" t="s">
        <v>73</v>
      </c>
      <c r="G7" s="113" t="s">
        <v>73</v>
      </c>
      <c r="H7" s="113" t="s">
        <v>73</v>
      </c>
      <c r="I7" s="113" t="s">
        <v>73</v>
      </c>
      <c r="J7" s="113" t="s">
        <v>73</v>
      </c>
      <c r="K7" s="113" t="s">
        <v>73</v>
      </c>
      <c r="L7" s="113" t="s">
        <v>73</v>
      </c>
      <c r="M7" s="290"/>
      <c r="N7" s="290"/>
      <c r="O7" s="112" t="s">
        <v>45</v>
      </c>
      <c r="P7" s="113" t="s">
        <v>44</v>
      </c>
      <c r="Q7" s="113" t="s">
        <v>46</v>
      </c>
      <c r="R7" s="113" t="s">
        <v>46</v>
      </c>
      <c r="S7" s="113" t="s">
        <v>60</v>
      </c>
      <c r="T7" s="113" t="s">
        <v>58</v>
      </c>
      <c r="U7" s="113" t="s">
        <v>60</v>
      </c>
      <c r="V7" s="113" t="s">
        <v>58</v>
      </c>
      <c r="W7" s="284"/>
      <c r="X7" s="275"/>
      <c r="Y7" s="275"/>
    </row>
    <row r="8" spans="1:25" s="126" customFormat="1" ht="18" customHeight="1">
      <c r="A8" s="117">
        <v>1</v>
      </c>
      <c r="B8" s="118" t="s">
        <v>0</v>
      </c>
      <c r="C8" s="120">
        <v>6153</v>
      </c>
      <c r="D8" s="120">
        <v>6140</v>
      </c>
      <c r="E8" s="121">
        <v>183</v>
      </c>
      <c r="F8" s="121"/>
      <c r="G8" s="121"/>
      <c r="H8" s="121">
        <v>6</v>
      </c>
      <c r="I8" s="121">
        <v>4</v>
      </c>
      <c r="J8" s="121"/>
      <c r="K8" s="121"/>
      <c r="L8" s="121">
        <v>3</v>
      </c>
      <c r="M8" s="122">
        <v>3539</v>
      </c>
      <c r="N8" s="123">
        <f aca="true" t="shared" si="0" ref="N8:N46">ROUND(D8/M8,3)</f>
        <v>1.735</v>
      </c>
      <c r="O8" s="124">
        <f>ROUND(E8*M8*N8/1000,1)</f>
        <v>1123.7</v>
      </c>
      <c r="P8" s="124">
        <f>ROUND(F8*M8*N8/1000,1)</f>
        <v>0</v>
      </c>
      <c r="Q8" s="124">
        <f>ROUND(G8/1000*N8*M8,1)</f>
        <v>0</v>
      </c>
      <c r="R8" s="124">
        <f>ROUND(H8*M8*N8/1000,1)</f>
        <v>36.8</v>
      </c>
      <c r="S8" s="124">
        <f>ROUND(I8*M8*N8/1000,1)</f>
        <v>24.6</v>
      </c>
      <c r="T8" s="124">
        <f>ROUND(J8*M8*N8/1000,1)</f>
        <v>0</v>
      </c>
      <c r="U8" s="124">
        <f>ROUND(K8*M8*N8/1000,1)</f>
        <v>0</v>
      </c>
      <c r="V8" s="124">
        <f>ROUND(L8*M8*N8/1000,1)</f>
        <v>18.4</v>
      </c>
      <c r="W8" s="124">
        <f aca="true" t="shared" si="1" ref="W8:W46">SUM(O8:V8)</f>
        <v>1203.5</v>
      </c>
      <c r="X8" s="125"/>
      <c r="Y8" s="125"/>
    </row>
    <row r="9" spans="1:25" s="126" customFormat="1" ht="15.75">
      <c r="A9" s="127">
        <v>2</v>
      </c>
      <c r="B9" s="118" t="s">
        <v>62</v>
      </c>
      <c r="C9" s="120">
        <v>5112</v>
      </c>
      <c r="D9" s="120">
        <v>5110</v>
      </c>
      <c r="E9" s="128">
        <v>296</v>
      </c>
      <c r="F9" s="128">
        <v>2</v>
      </c>
      <c r="G9" s="128"/>
      <c r="H9" s="128">
        <v>3</v>
      </c>
      <c r="I9" s="128"/>
      <c r="J9" s="128"/>
      <c r="K9" s="128"/>
      <c r="L9" s="128"/>
      <c r="M9" s="122">
        <v>3539</v>
      </c>
      <c r="N9" s="123">
        <f t="shared" si="0"/>
        <v>1.444</v>
      </c>
      <c r="O9" s="124">
        <f aca="true" t="shared" si="2" ref="O9:O46">ROUND(E9*M9*N9/1000,1)</f>
        <v>1512.7</v>
      </c>
      <c r="P9" s="124">
        <f aca="true" t="shared" si="3" ref="P9:P46">ROUND(F9*M9*N9/1000,1)</f>
        <v>10.2</v>
      </c>
      <c r="Q9" s="124">
        <f aca="true" t="shared" si="4" ref="Q9:Q46">ROUND(G9/1000*N9*M9,1)</f>
        <v>0</v>
      </c>
      <c r="R9" s="124">
        <f aca="true" t="shared" si="5" ref="R9:R46">ROUND(H9*M9*N9/1000,1)</f>
        <v>15.3</v>
      </c>
      <c r="S9" s="124">
        <f aca="true" t="shared" si="6" ref="S9:S46">ROUND(I9*M9*N9/1000,1)</f>
        <v>0</v>
      </c>
      <c r="T9" s="124">
        <f aca="true" t="shared" si="7" ref="T9:T46">ROUND(J9*M9*N9/1000,1)</f>
        <v>0</v>
      </c>
      <c r="U9" s="124">
        <f aca="true" t="shared" si="8" ref="U9:U46">ROUND(K9*M9*N9/1000,1)</f>
        <v>0</v>
      </c>
      <c r="V9" s="124">
        <f aca="true" t="shared" si="9" ref="V9:V46">ROUND(L9*M9*N9/1000,1)</f>
        <v>0</v>
      </c>
      <c r="W9" s="124">
        <f t="shared" si="1"/>
        <v>1538.2</v>
      </c>
      <c r="X9" s="125"/>
      <c r="Y9" s="125"/>
    </row>
    <row r="10" spans="1:25" s="126" customFormat="1" ht="15.75">
      <c r="A10" s="127">
        <v>3</v>
      </c>
      <c r="B10" s="118" t="s">
        <v>1</v>
      </c>
      <c r="C10" s="120">
        <v>3551</v>
      </c>
      <c r="D10" s="120">
        <v>3539</v>
      </c>
      <c r="E10" s="128">
        <v>281</v>
      </c>
      <c r="F10" s="128">
        <v>1</v>
      </c>
      <c r="G10" s="128">
        <v>6</v>
      </c>
      <c r="H10" s="128"/>
      <c r="I10" s="128"/>
      <c r="J10" s="128"/>
      <c r="K10" s="128">
        <v>3</v>
      </c>
      <c r="L10" s="128"/>
      <c r="M10" s="122">
        <v>3539</v>
      </c>
      <c r="N10" s="123">
        <f t="shared" si="0"/>
        <v>1</v>
      </c>
      <c r="O10" s="124">
        <f t="shared" si="2"/>
        <v>994.5</v>
      </c>
      <c r="P10" s="124">
        <f t="shared" si="3"/>
        <v>3.5</v>
      </c>
      <c r="Q10" s="124">
        <f t="shared" si="4"/>
        <v>21.2</v>
      </c>
      <c r="R10" s="124">
        <f t="shared" si="5"/>
        <v>0</v>
      </c>
      <c r="S10" s="124">
        <f t="shared" si="6"/>
        <v>0</v>
      </c>
      <c r="T10" s="124">
        <f t="shared" si="7"/>
        <v>0</v>
      </c>
      <c r="U10" s="124">
        <f t="shared" si="8"/>
        <v>10.6</v>
      </c>
      <c r="V10" s="124">
        <f t="shared" si="9"/>
        <v>0</v>
      </c>
      <c r="W10" s="124">
        <f t="shared" si="1"/>
        <v>1029.8</v>
      </c>
      <c r="X10" s="125"/>
      <c r="Y10" s="125"/>
    </row>
    <row r="11" spans="1:25" s="126" customFormat="1" ht="15.75">
      <c r="A11" s="127">
        <v>4</v>
      </c>
      <c r="B11" s="118" t="s">
        <v>2</v>
      </c>
      <c r="C11" s="120">
        <v>7114</v>
      </c>
      <c r="D11" s="120">
        <v>7108</v>
      </c>
      <c r="E11" s="129">
        <v>197</v>
      </c>
      <c r="F11" s="129"/>
      <c r="G11" s="129"/>
      <c r="H11" s="129"/>
      <c r="I11" s="129"/>
      <c r="J11" s="129">
        <v>1</v>
      </c>
      <c r="K11" s="129"/>
      <c r="L11" s="129">
        <v>4</v>
      </c>
      <c r="M11" s="122">
        <v>3539</v>
      </c>
      <c r="N11" s="123">
        <f t="shared" si="0"/>
        <v>2.008</v>
      </c>
      <c r="O11" s="124">
        <f t="shared" si="2"/>
        <v>1399.9</v>
      </c>
      <c r="P11" s="124">
        <f t="shared" si="3"/>
        <v>0</v>
      </c>
      <c r="Q11" s="124">
        <f t="shared" si="4"/>
        <v>0</v>
      </c>
      <c r="R11" s="124">
        <f t="shared" si="5"/>
        <v>0</v>
      </c>
      <c r="S11" s="124">
        <f t="shared" si="6"/>
        <v>0</v>
      </c>
      <c r="T11" s="124">
        <f t="shared" si="7"/>
        <v>7.1</v>
      </c>
      <c r="U11" s="124">
        <f t="shared" si="8"/>
        <v>0</v>
      </c>
      <c r="V11" s="124">
        <f t="shared" si="9"/>
        <v>28.4</v>
      </c>
      <c r="W11" s="124">
        <f t="shared" si="1"/>
        <v>1435.4</v>
      </c>
      <c r="X11" s="125"/>
      <c r="Y11" s="125"/>
    </row>
    <row r="12" spans="1:25" s="126" customFormat="1" ht="15.75">
      <c r="A12" s="127">
        <v>5</v>
      </c>
      <c r="B12" s="118" t="s">
        <v>61</v>
      </c>
      <c r="C12" s="120">
        <v>7981</v>
      </c>
      <c r="D12" s="120">
        <v>7981</v>
      </c>
      <c r="E12" s="128">
        <v>47</v>
      </c>
      <c r="F12" s="128">
        <v>3</v>
      </c>
      <c r="G12" s="128"/>
      <c r="H12" s="128">
        <v>5</v>
      </c>
      <c r="I12" s="128"/>
      <c r="J12" s="128"/>
      <c r="K12" s="128">
        <v>2</v>
      </c>
      <c r="L12" s="128"/>
      <c r="M12" s="122">
        <v>3539</v>
      </c>
      <c r="N12" s="123">
        <f t="shared" si="0"/>
        <v>2.255</v>
      </c>
      <c r="O12" s="124">
        <f t="shared" si="2"/>
        <v>375.1</v>
      </c>
      <c r="P12" s="124">
        <f t="shared" si="3"/>
        <v>23.9</v>
      </c>
      <c r="Q12" s="124">
        <f t="shared" si="4"/>
        <v>0</v>
      </c>
      <c r="R12" s="124">
        <f t="shared" si="5"/>
        <v>39.9</v>
      </c>
      <c r="S12" s="124">
        <f t="shared" si="6"/>
        <v>0</v>
      </c>
      <c r="T12" s="124">
        <f t="shared" si="7"/>
        <v>0</v>
      </c>
      <c r="U12" s="124">
        <f t="shared" si="8"/>
        <v>16</v>
      </c>
      <c r="V12" s="124">
        <f t="shared" si="9"/>
        <v>0</v>
      </c>
      <c r="W12" s="124">
        <f t="shared" si="1"/>
        <v>454.9</v>
      </c>
      <c r="X12" s="125"/>
      <c r="Y12" s="125"/>
    </row>
    <row r="13" spans="1:25" s="126" customFormat="1" ht="15.75">
      <c r="A13" s="127">
        <v>6</v>
      </c>
      <c r="B13" s="118" t="s">
        <v>3</v>
      </c>
      <c r="C13" s="120">
        <v>4488</v>
      </c>
      <c r="D13" s="120">
        <v>4479</v>
      </c>
      <c r="E13" s="128">
        <v>290</v>
      </c>
      <c r="F13" s="128">
        <v>3</v>
      </c>
      <c r="G13" s="128">
        <v>1</v>
      </c>
      <c r="H13" s="128">
        <v>2</v>
      </c>
      <c r="I13" s="128"/>
      <c r="J13" s="128"/>
      <c r="K13" s="128">
        <v>2</v>
      </c>
      <c r="L13" s="128">
        <v>1</v>
      </c>
      <c r="M13" s="122">
        <v>3539</v>
      </c>
      <c r="N13" s="123">
        <f t="shared" si="0"/>
        <v>1.266</v>
      </c>
      <c r="O13" s="124">
        <f t="shared" si="2"/>
        <v>1299.3</v>
      </c>
      <c r="P13" s="124">
        <f t="shared" si="3"/>
        <v>13.4</v>
      </c>
      <c r="Q13" s="124">
        <f t="shared" si="4"/>
        <v>4.5</v>
      </c>
      <c r="R13" s="124">
        <f t="shared" si="5"/>
        <v>9</v>
      </c>
      <c r="S13" s="124">
        <f t="shared" si="6"/>
        <v>0</v>
      </c>
      <c r="T13" s="124">
        <f t="shared" si="7"/>
        <v>0</v>
      </c>
      <c r="U13" s="124">
        <f t="shared" si="8"/>
        <v>9</v>
      </c>
      <c r="V13" s="124">
        <f t="shared" si="9"/>
        <v>4.5</v>
      </c>
      <c r="W13" s="124">
        <f t="shared" si="1"/>
        <v>1339.7</v>
      </c>
      <c r="X13" s="125"/>
      <c r="Y13" s="125"/>
    </row>
    <row r="14" spans="1:25" s="126" customFormat="1" ht="15.75" customHeight="1">
      <c r="A14" s="127">
        <v>7</v>
      </c>
      <c r="B14" s="118" t="s">
        <v>4</v>
      </c>
      <c r="C14" s="120">
        <v>3779</v>
      </c>
      <c r="D14" s="120">
        <v>3770</v>
      </c>
      <c r="E14" s="128">
        <v>349</v>
      </c>
      <c r="F14" s="128"/>
      <c r="G14" s="128"/>
      <c r="H14" s="128">
        <v>3</v>
      </c>
      <c r="I14" s="128"/>
      <c r="J14" s="128"/>
      <c r="K14" s="128"/>
      <c r="L14" s="128">
        <v>2</v>
      </c>
      <c r="M14" s="122">
        <v>3539</v>
      </c>
      <c r="N14" s="123">
        <f t="shared" si="0"/>
        <v>1.065</v>
      </c>
      <c r="O14" s="124">
        <f t="shared" si="2"/>
        <v>1315.4</v>
      </c>
      <c r="P14" s="124">
        <f t="shared" si="3"/>
        <v>0</v>
      </c>
      <c r="Q14" s="124">
        <f t="shared" si="4"/>
        <v>0</v>
      </c>
      <c r="R14" s="124">
        <f t="shared" si="5"/>
        <v>11.3</v>
      </c>
      <c r="S14" s="124">
        <f t="shared" si="6"/>
        <v>0</v>
      </c>
      <c r="T14" s="124">
        <f t="shared" si="7"/>
        <v>0</v>
      </c>
      <c r="U14" s="124">
        <f t="shared" si="8"/>
        <v>0</v>
      </c>
      <c r="V14" s="124">
        <f t="shared" si="9"/>
        <v>7.5</v>
      </c>
      <c r="W14" s="124">
        <f t="shared" si="1"/>
        <v>1334.2</v>
      </c>
      <c r="X14" s="125"/>
      <c r="Y14" s="125"/>
    </row>
    <row r="15" spans="1:25" s="132" customFormat="1" ht="15.75">
      <c r="A15" s="130">
        <v>8</v>
      </c>
      <c r="B15" s="131" t="s">
        <v>5</v>
      </c>
      <c r="C15" s="120">
        <v>4686</v>
      </c>
      <c r="D15" s="120">
        <v>4680</v>
      </c>
      <c r="E15" s="128">
        <v>374</v>
      </c>
      <c r="F15" s="128">
        <v>1</v>
      </c>
      <c r="G15" s="128"/>
      <c r="H15" s="128">
        <v>8</v>
      </c>
      <c r="I15" s="128">
        <v>2</v>
      </c>
      <c r="J15" s="128"/>
      <c r="K15" s="128"/>
      <c r="L15" s="128">
        <v>1</v>
      </c>
      <c r="M15" s="122">
        <v>3539</v>
      </c>
      <c r="N15" s="123">
        <f t="shared" si="0"/>
        <v>1.322</v>
      </c>
      <c r="O15" s="124">
        <f t="shared" si="2"/>
        <v>1749.8</v>
      </c>
      <c r="P15" s="124">
        <f t="shared" si="3"/>
        <v>4.7</v>
      </c>
      <c r="Q15" s="124">
        <f t="shared" si="4"/>
        <v>0</v>
      </c>
      <c r="R15" s="124">
        <f t="shared" si="5"/>
        <v>37.4</v>
      </c>
      <c r="S15" s="124">
        <f t="shared" si="6"/>
        <v>9.4</v>
      </c>
      <c r="T15" s="124">
        <f t="shared" si="7"/>
        <v>0</v>
      </c>
      <c r="U15" s="124">
        <f t="shared" si="8"/>
        <v>0</v>
      </c>
      <c r="V15" s="124">
        <f t="shared" si="9"/>
        <v>4.7</v>
      </c>
      <c r="W15" s="124">
        <f t="shared" si="1"/>
        <v>1806.0000000000002</v>
      </c>
      <c r="X15" s="125"/>
      <c r="Y15" s="125"/>
    </row>
    <row r="16" spans="1:25" s="126" customFormat="1" ht="15.75">
      <c r="A16" s="127">
        <v>9</v>
      </c>
      <c r="B16" s="118" t="s">
        <v>6</v>
      </c>
      <c r="C16" s="120">
        <v>30811</v>
      </c>
      <c r="D16" s="120">
        <v>30622</v>
      </c>
      <c r="E16" s="128">
        <v>18</v>
      </c>
      <c r="F16" s="128"/>
      <c r="G16" s="128"/>
      <c r="H16" s="128"/>
      <c r="I16" s="128"/>
      <c r="J16" s="128"/>
      <c r="K16" s="128"/>
      <c r="L16" s="128"/>
      <c r="M16" s="122">
        <v>3539</v>
      </c>
      <c r="N16" s="123">
        <f t="shared" si="0"/>
        <v>8.653</v>
      </c>
      <c r="O16" s="124">
        <f t="shared" si="2"/>
        <v>551.2</v>
      </c>
      <c r="P16" s="124">
        <f t="shared" si="3"/>
        <v>0</v>
      </c>
      <c r="Q16" s="124">
        <f t="shared" si="4"/>
        <v>0</v>
      </c>
      <c r="R16" s="124">
        <f t="shared" si="5"/>
        <v>0</v>
      </c>
      <c r="S16" s="124">
        <f t="shared" si="6"/>
        <v>0</v>
      </c>
      <c r="T16" s="124">
        <f t="shared" si="7"/>
        <v>0</v>
      </c>
      <c r="U16" s="124">
        <f t="shared" si="8"/>
        <v>0</v>
      </c>
      <c r="V16" s="124">
        <f t="shared" si="9"/>
        <v>0</v>
      </c>
      <c r="W16" s="124">
        <f>SUM(O16:V16)+0.1</f>
        <v>551.3000000000001</v>
      </c>
      <c r="X16" s="125"/>
      <c r="Y16" s="125"/>
    </row>
    <row r="17" spans="1:25" s="126" customFormat="1" ht="15.75">
      <c r="A17" s="130">
        <v>10</v>
      </c>
      <c r="B17" s="133" t="s">
        <v>7</v>
      </c>
      <c r="C17" s="120">
        <v>17704</v>
      </c>
      <c r="D17" s="120">
        <v>17666</v>
      </c>
      <c r="E17" s="128">
        <v>75</v>
      </c>
      <c r="F17" s="128"/>
      <c r="G17" s="128"/>
      <c r="H17" s="128"/>
      <c r="I17" s="128"/>
      <c r="J17" s="128"/>
      <c r="K17" s="128">
        <v>1</v>
      </c>
      <c r="L17" s="128">
        <v>1</v>
      </c>
      <c r="M17" s="122">
        <v>3539</v>
      </c>
      <c r="N17" s="123">
        <f t="shared" si="0"/>
        <v>4.992</v>
      </c>
      <c r="O17" s="124">
        <f t="shared" si="2"/>
        <v>1325</v>
      </c>
      <c r="P17" s="124">
        <f t="shared" si="3"/>
        <v>0</v>
      </c>
      <c r="Q17" s="124">
        <f t="shared" si="4"/>
        <v>0</v>
      </c>
      <c r="R17" s="124">
        <f t="shared" si="5"/>
        <v>0</v>
      </c>
      <c r="S17" s="124">
        <f t="shared" si="6"/>
        <v>0</v>
      </c>
      <c r="T17" s="124">
        <f t="shared" si="7"/>
        <v>0</v>
      </c>
      <c r="U17" s="124">
        <f t="shared" si="8"/>
        <v>17.7</v>
      </c>
      <c r="V17" s="124">
        <f t="shared" si="9"/>
        <v>17.7</v>
      </c>
      <c r="W17" s="124">
        <f t="shared" si="1"/>
        <v>1360.4</v>
      </c>
      <c r="X17" s="125"/>
      <c r="Y17" s="125"/>
    </row>
    <row r="18" spans="1:25" s="126" customFormat="1" ht="15.75">
      <c r="A18" s="127">
        <v>11</v>
      </c>
      <c r="B18" s="133" t="s">
        <v>8</v>
      </c>
      <c r="C18" s="120">
        <v>12715</v>
      </c>
      <c r="D18" s="120">
        <v>12690</v>
      </c>
      <c r="E18" s="128">
        <v>104</v>
      </c>
      <c r="F18" s="128">
        <v>1</v>
      </c>
      <c r="G18" s="128"/>
      <c r="H18" s="128"/>
      <c r="I18" s="128"/>
      <c r="J18" s="128"/>
      <c r="K18" s="128">
        <v>1</v>
      </c>
      <c r="L18" s="128"/>
      <c r="M18" s="122">
        <v>3539</v>
      </c>
      <c r="N18" s="123">
        <f t="shared" si="0"/>
        <v>3.586</v>
      </c>
      <c r="O18" s="124">
        <f t="shared" si="2"/>
        <v>1319.8</v>
      </c>
      <c r="P18" s="124">
        <f t="shared" si="3"/>
        <v>12.7</v>
      </c>
      <c r="Q18" s="124">
        <f t="shared" si="4"/>
        <v>0</v>
      </c>
      <c r="R18" s="124">
        <f t="shared" si="5"/>
        <v>0</v>
      </c>
      <c r="S18" s="124">
        <f t="shared" si="6"/>
        <v>0</v>
      </c>
      <c r="T18" s="124">
        <f t="shared" si="7"/>
        <v>0</v>
      </c>
      <c r="U18" s="124">
        <f t="shared" si="8"/>
        <v>12.7</v>
      </c>
      <c r="V18" s="124">
        <f t="shared" si="9"/>
        <v>0</v>
      </c>
      <c r="W18" s="124">
        <f t="shared" si="1"/>
        <v>1345.2</v>
      </c>
      <c r="X18" s="125"/>
      <c r="Y18" s="125"/>
    </row>
    <row r="19" spans="1:25" s="126" customFormat="1" ht="15.75">
      <c r="A19" s="130">
        <v>12</v>
      </c>
      <c r="B19" s="133" t="s">
        <v>9</v>
      </c>
      <c r="C19" s="120">
        <v>13621</v>
      </c>
      <c r="D19" s="120">
        <v>13587</v>
      </c>
      <c r="E19" s="128">
        <v>103</v>
      </c>
      <c r="F19" s="128"/>
      <c r="G19" s="128"/>
      <c r="H19" s="128"/>
      <c r="I19" s="128"/>
      <c r="J19" s="128"/>
      <c r="K19" s="128">
        <v>3</v>
      </c>
      <c r="L19" s="128"/>
      <c r="M19" s="122">
        <v>3539</v>
      </c>
      <c r="N19" s="123">
        <f t="shared" si="0"/>
        <v>3.839</v>
      </c>
      <c r="O19" s="124">
        <f t="shared" si="2"/>
        <v>1399.4</v>
      </c>
      <c r="P19" s="124">
        <f t="shared" si="3"/>
        <v>0</v>
      </c>
      <c r="Q19" s="124">
        <f t="shared" si="4"/>
        <v>0</v>
      </c>
      <c r="R19" s="124">
        <f t="shared" si="5"/>
        <v>0</v>
      </c>
      <c r="S19" s="124">
        <f t="shared" si="6"/>
        <v>0</v>
      </c>
      <c r="T19" s="124">
        <f t="shared" si="7"/>
        <v>0</v>
      </c>
      <c r="U19" s="124">
        <f t="shared" si="8"/>
        <v>40.8</v>
      </c>
      <c r="V19" s="124">
        <f t="shared" si="9"/>
        <v>0</v>
      </c>
      <c r="W19" s="124">
        <f t="shared" si="1"/>
        <v>1440.2</v>
      </c>
      <c r="X19" s="125"/>
      <c r="Y19" s="125"/>
    </row>
    <row r="20" spans="1:25" s="126" customFormat="1" ht="15.75">
      <c r="A20" s="127">
        <v>13</v>
      </c>
      <c r="B20" s="133" t="s">
        <v>10</v>
      </c>
      <c r="C20" s="120">
        <v>6481</v>
      </c>
      <c r="D20" s="120">
        <v>6472</v>
      </c>
      <c r="E20" s="128">
        <v>305</v>
      </c>
      <c r="F20" s="128"/>
      <c r="G20" s="128"/>
      <c r="H20" s="128"/>
      <c r="I20" s="128"/>
      <c r="J20" s="128"/>
      <c r="K20" s="128">
        <v>6</v>
      </c>
      <c r="L20" s="128"/>
      <c r="M20" s="122">
        <v>3539</v>
      </c>
      <c r="N20" s="123">
        <f t="shared" si="0"/>
        <v>1.829</v>
      </c>
      <c r="O20" s="124">
        <f t="shared" si="2"/>
        <v>1974.2</v>
      </c>
      <c r="P20" s="124">
        <f t="shared" si="3"/>
        <v>0</v>
      </c>
      <c r="Q20" s="124">
        <f t="shared" si="4"/>
        <v>0</v>
      </c>
      <c r="R20" s="124">
        <f t="shared" si="5"/>
        <v>0</v>
      </c>
      <c r="S20" s="124">
        <f t="shared" si="6"/>
        <v>0</v>
      </c>
      <c r="T20" s="124">
        <f t="shared" si="7"/>
        <v>0</v>
      </c>
      <c r="U20" s="124">
        <f t="shared" si="8"/>
        <v>38.8</v>
      </c>
      <c r="V20" s="124">
        <f t="shared" si="9"/>
        <v>0</v>
      </c>
      <c r="W20" s="124">
        <f t="shared" si="1"/>
        <v>2013</v>
      </c>
      <c r="X20" s="125"/>
      <c r="Y20" s="125"/>
    </row>
    <row r="21" spans="1:25" s="126" customFormat="1" ht="19.5" customHeight="1">
      <c r="A21" s="130">
        <v>14</v>
      </c>
      <c r="B21" s="133" t="s">
        <v>11</v>
      </c>
      <c r="C21" s="120">
        <v>26132</v>
      </c>
      <c r="D21" s="120">
        <v>26050</v>
      </c>
      <c r="E21" s="128">
        <v>41</v>
      </c>
      <c r="F21" s="128"/>
      <c r="G21" s="128"/>
      <c r="H21" s="128">
        <v>1</v>
      </c>
      <c r="I21" s="128"/>
      <c r="J21" s="128"/>
      <c r="K21" s="128"/>
      <c r="L21" s="128">
        <v>1</v>
      </c>
      <c r="M21" s="122">
        <v>3539</v>
      </c>
      <c r="N21" s="123">
        <f t="shared" si="0"/>
        <v>7.361</v>
      </c>
      <c r="O21" s="124">
        <f t="shared" si="2"/>
        <v>1068.1</v>
      </c>
      <c r="P21" s="124">
        <f t="shared" si="3"/>
        <v>0</v>
      </c>
      <c r="Q21" s="124">
        <f t="shared" si="4"/>
        <v>0</v>
      </c>
      <c r="R21" s="124">
        <f t="shared" si="5"/>
        <v>26.1</v>
      </c>
      <c r="S21" s="124">
        <f t="shared" si="6"/>
        <v>0</v>
      </c>
      <c r="T21" s="124">
        <f t="shared" si="7"/>
        <v>0</v>
      </c>
      <c r="U21" s="124">
        <f t="shared" si="8"/>
        <v>0</v>
      </c>
      <c r="V21" s="124">
        <f t="shared" si="9"/>
        <v>26.1</v>
      </c>
      <c r="W21" s="124">
        <f t="shared" si="1"/>
        <v>1120.2999999999997</v>
      </c>
      <c r="X21" s="125"/>
      <c r="Y21" s="125"/>
    </row>
    <row r="22" spans="1:25" s="126" customFormat="1" ht="15.75">
      <c r="A22" s="127">
        <v>15</v>
      </c>
      <c r="B22" s="133" t="s">
        <v>12</v>
      </c>
      <c r="C22" s="120">
        <v>9518</v>
      </c>
      <c r="D22" s="120">
        <v>9506</v>
      </c>
      <c r="E22" s="128">
        <v>195</v>
      </c>
      <c r="F22" s="128">
        <v>2</v>
      </c>
      <c r="G22" s="128"/>
      <c r="H22" s="128">
        <v>1</v>
      </c>
      <c r="I22" s="128">
        <v>1</v>
      </c>
      <c r="J22" s="128"/>
      <c r="K22" s="128">
        <v>1</v>
      </c>
      <c r="L22" s="128"/>
      <c r="M22" s="122">
        <v>3539</v>
      </c>
      <c r="N22" s="123">
        <f t="shared" si="0"/>
        <v>2.686</v>
      </c>
      <c r="O22" s="124">
        <f t="shared" si="2"/>
        <v>1853.6</v>
      </c>
      <c r="P22" s="124">
        <f t="shared" si="3"/>
        <v>19</v>
      </c>
      <c r="Q22" s="124">
        <f t="shared" si="4"/>
        <v>0</v>
      </c>
      <c r="R22" s="124">
        <f t="shared" si="5"/>
        <v>9.5</v>
      </c>
      <c r="S22" s="124">
        <f t="shared" si="6"/>
        <v>9.5</v>
      </c>
      <c r="T22" s="124">
        <f t="shared" si="7"/>
        <v>0</v>
      </c>
      <c r="U22" s="124">
        <f t="shared" si="8"/>
        <v>9.5</v>
      </c>
      <c r="V22" s="124">
        <f t="shared" si="9"/>
        <v>0</v>
      </c>
      <c r="W22" s="124">
        <f t="shared" si="1"/>
        <v>1901.1</v>
      </c>
      <c r="X22" s="125"/>
      <c r="Y22" s="125"/>
    </row>
    <row r="23" spans="1:25" s="126" customFormat="1" ht="15.75" customHeight="1">
      <c r="A23" s="130">
        <v>16</v>
      </c>
      <c r="B23" s="133" t="s">
        <v>13</v>
      </c>
      <c r="C23" s="120">
        <v>21847</v>
      </c>
      <c r="D23" s="120">
        <v>21813</v>
      </c>
      <c r="E23" s="128">
        <v>70</v>
      </c>
      <c r="F23" s="128"/>
      <c r="G23" s="128"/>
      <c r="H23" s="128">
        <v>5</v>
      </c>
      <c r="I23" s="128">
        <v>1</v>
      </c>
      <c r="J23" s="128"/>
      <c r="K23" s="128">
        <v>1</v>
      </c>
      <c r="L23" s="128"/>
      <c r="M23" s="122">
        <v>3539</v>
      </c>
      <c r="N23" s="123">
        <f t="shared" si="0"/>
        <v>6.164</v>
      </c>
      <c r="O23" s="124">
        <f t="shared" si="2"/>
        <v>1527</v>
      </c>
      <c r="P23" s="124">
        <f t="shared" si="3"/>
        <v>0</v>
      </c>
      <c r="Q23" s="124">
        <f t="shared" si="4"/>
        <v>0</v>
      </c>
      <c r="R23" s="124">
        <f t="shared" si="5"/>
        <v>109.1</v>
      </c>
      <c r="S23" s="124">
        <f t="shared" si="6"/>
        <v>21.8</v>
      </c>
      <c r="T23" s="124">
        <f t="shared" si="7"/>
        <v>0</v>
      </c>
      <c r="U23" s="124">
        <f t="shared" si="8"/>
        <v>21.8</v>
      </c>
      <c r="V23" s="124">
        <f t="shared" si="9"/>
        <v>0</v>
      </c>
      <c r="W23" s="124">
        <f t="shared" si="1"/>
        <v>1679.6999999999998</v>
      </c>
      <c r="X23" s="125"/>
      <c r="Y23" s="125"/>
    </row>
    <row r="24" spans="1:25" s="126" customFormat="1" ht="19.5" customHeight="1">
      <c r="A24" s="127">
        <v>17</v>
      </c>
      <c r="B24" s="133" t="s">
        <v>14</v>
      </c>
      <c r="C24" s="120">
        <v>55000</v>
      </c>
      <c r="D24" s="120">
        <v>54793</v>
      </c>
      <c r="E24" s="128">
        <v>12</v>
      </c>
      <c r="F24" s="134"/>
      <c r="G24" s="134"/>
      <c r="H24" s="134"/>
      <c r="I24" s="134"/>
      <c r="J24" s="134"/>
      <c r="K24" s="134"/>
      <c r="L24" s="134"/>
      <c r="M24" s="122">
        <v>3539</v>
      </c>
      <c r="N24" s="123">
        <f t="shared" si="0"/>
        <v>15.483</v>
      </c>
      <c r="O24" s="124">
        <f t="shared" si="2"/>
        <v>657.5</v>
      </c>
      <c r="P24" s="124">
        <f t="shared" si="3"/>
        <v>0</v>
      </c>
      <c r="Q24" s="124">
        <f t="shared" si="4"/>
        <v>0</v>
      </c>
      <c r="R24" s="124">
        <f t="shared" si="5"/>
        <v>0</v>
      </c>
      <c r="S24" s="124">
        <f t="shared" si="6"/>
        <v>0</v>
      </c>
      <c r="T24" s="124">
        <f t="shared" si="7"/>
        <v>0</v>
      </c>
      <c r="U24" s="124">
        <f t="shared" si="8"/>
        <v>0</v>
      </c>
      <c r="V24" s="124">
        <f t="shared" si="9"/>
        <v>0</v>
      </c>
      <c r="W24" s="124">
        <f t="shared" si="1"/>
        <v>657.5</v>
      </c>
      <c r="X24" s="125"/>
      <c r="Y24" s="125"/>
    </row>
    <row r="25" spans="1:25" s="126" customFormat="1" ht="15.75">
      <c r="A25" s="130">
        <v>18</v>
      </c>
      <c r="B25" s="133" t="s">
        <v>15</v>
      </c>
      <c r="C25" s="120">
        <v>19027</v>
      </c>
      <c r="D25" s="120">
        <v>18947</v>
      </c>
      <c r="E25" s="128">
        <v>29</v>
      </c>
      <c r="F25" s="128"/>
      <c r="G25" s="128"/>
      <c r="H25" s="128">
        <v>3</v>
      </c>
      <c r="I25" s="128">
        <v>1</v>
      </c>
      <c r="J25" s="128"/>
      <c r="K25" s="128">
        <v>1</v>
      </c>
      <c r="L25" s="128"/>
      <c r="M25" s="122">
        <v>3539</v>
      </c>
      <c r="N25" s="123">
        <f t="shared" si="0"/>
        <v>5.354</v>
      </c>
      <c r="O25" s="124">
        <f t="shared" si="2"/>
        <v>549.5</v>
      </c>
      <c r="P25" s="124">
        <f t="shared" si="3"/>
        <v>0</v>
      </c>
      <c r="Q25" s="124">
        <f t="shared" si="4"/>
        <v>0</v>
      </c>
      <c r="R25" s="124">
        <f t="shared" si="5"/>
        <v>56.8</v>
      </c>
      <c r="S25" s="124">
        <f t="shared" si="6"/>
        <v>18.9</v>
      </c>
      <c r="T25" s="124">
        <f t="shared" si="7"/>
        <v>0</v>
      </c>
      <c r="U25" s="124">
        <f t="shared" si="8"/>
        <v>18.9</v>
      </c>
      <c r="V25" s="124">
        <f t="shared" si="9"/>
        <v>0</v>
      </c>
      <c r="W25" s="124">
        <f t="shared" si="1"/>
        <v>644.0999999999999</v>
      </c>
      <c r="X25" s="125"/>
      <c r="Y25" s="125"/>
    </row>
    <row r="26" spans="1:25" s="126" customFormat="1" ht="21" customHeight="1">
      <c r="A26" s="127">
        <v>19</v>
      </c>
      <c r="B26" s="133" t="s">
        <v>16</v>
      </c>
      <c r="C26" s="120">
        <v>14016</v>
      </c>
      <c r="D26" s="120">
        <v>13995</v>
      </c>
      <c r="E26" s="128">
        <v>118</v>
      </c>
      <c r="F26" s="128"/>
      <c r="G26" s="128"/>
      <c r="H26" s="128">
        <v>1</v>
      </c>
      <c r="I26" s="128"/>
      <c r="J26" s="128"/>
      <c r="K26" s="128"/>
      <c r="L26" s="128">
        <v>2</v>
      </c>
      <c r="M26" s="122">
        <v>3539</v>
      </c>
      <c r="N26" s="123">
        <f t="shared" si="0"/>
        <v>3.955</v>
      </c>
      <c r="O26" s="124">
        <f t="shared" si="2"/>
        <v>1651.6</v>
      </c>
      <c r="P26" s="124">
        <f t="shared" si="3"/>
        <v>0</v>
      </c>
      <c r="Q26" s="124">
        <f t="shared" si="4"/>
        <v>0</v>
      </c>
      <c r="R26" s="124">
        <f t="shared" si="5"/>
        <v>14</v>
      </c>
      <c r="S26" s="124">
        <f t="shared" si="6"/>
        <v>0</v>
      </c>
      <c r="T26" s="124">
        <f t="shared" si="7"/>
        <v>0</v>
      </c>
      <c r="U26" s="124">
        <f t="shared" si="8"/>
        <v>0</v>
      </c>
      <c r="V26" s="124">
        <f t="shared" si="9"/>
        <v>28</v>
      </c>
      <c r="W26" s="124">
        <f t="shared" si="1"/>
        <v>1693.6</v>
      </c>
      <c r="X26" s="125"/>
      <c r="Y26" s="125"/>
    </row>
    <row r="27" spans="1:25" s="126" customFormat="1" ht="15.75">
      <c r="A27" s="130">
        <v>20</v>
      </c>
      <c r="B27" s="133" t="s">
        <v>17</v>
      </c>
      <c r="C27" s="120">
        <v>6784</v>
      </c>
      <c r="D27" s="120">
        <v>6772</v>
      </c>
      <c r="E27" s="128">
        <v>204</v>
      </c>
      <c r="F27" s="128">
        <v>2</v>
      </c>
      <c r="G27" s="128"/>
      <c r="H27" s="128">
        <v>2</v>
      </c>
      <c r="I27" s="128"/>
      <c r="J27" s="128"/>
      <c r="K27" s="128">
        <v>1</v>
      </c>
      <c r="L27" s="128">
        <v>1</v>
      </c>
      <c r="M27" s="122">
        <v>3539</v>
      </c>
      <c r="N27" s="123">
        <f t="shared" si="0"/>
        <v>1.914</v>
      </c>
      <c r="O27" s="124">
        <f t="shared" si="2"/>
        <v>1381.8</v>
      </c>
      <c r="P27" s="124">
        <f t="shared" si="3"/>
        <v>13.5</v>
      </c>
      <c r="Q27" s="124">
        <f t="shared" si="4"/>
        <v>0</v>
      </c>
      <c r="R27" s="124">
        <f t="shared" si="5"/>
        <v>13.5</v>
      </c>
      <c r="S27" s="124">
        <f t="shared" si="6"/>
        <v>0</v>
      </c>
      <c r="T27" s="124">
        <f t="shared" si="7"/>
        <v>0</v>
      </c>
      <c r="U27" s="124">
        <f t="shared" si="8"/>
        <v>6.8</v>
      </c>
      <c r="V27" s="124">
        <f t="shared" si="9"/>
        <v>6.8</v>
      </c>
      <c r="W27" s="124">
        <f t="shared" si="1"/>
        <v>1422.3999999999999</v>
      </c>
      <c r="X27" s="125"/>
      <c r="Y27" s="125"/>
    </row>
    <row r="28" spans="1:25" s="126" customFormat="1" ht="21.75" customHeight="1">
      <c r="A28" s="127">
        <v>21</v>
      </c>
      <c r="B28" s="133" t="s">
        <v>18</v>
      </c>
      <c r="C28" s="120">
        <v>33373</v>
      </c>
      <c r="D28" s="120">
        <v>33306</v>
      </c>
      <c r="E28" s="128">
        <v>28</v>
      </c>
      <c r="F28" s="128">
        <v>1</v>
      </c>
      <c r="G28" s="128">
        <v>2</v>
      </c>
      <c r="H28" s="128"/>
      <c r="I28" s="128"/>
      <c r="J28" s="128"/>
      <c r="K28" s="128"/>
      <c r="L28" s="128"/>
      <c r="M28" s="122">
        <v>3539</v>
      </c>
      <c r="N28" s="123">
        <f t="shared" si="0"/>
        <v>9.411</v>
      </c>
      <c r="O28" s="124">
        <f t="shared" si="2"/>
        <v>932.6</v>
      </c>
      <c r="P28" s="124">
        <f t="shared" si="3"/>
        <v>33.3</v>
      </c>
      <c r="Q28" s="124">
        <f t="shared" si="4"/>
        <v>66.6</v>
      </c>
      <c r="R28" s="124">
        <f t="shared" si="5"/>
        <v>0</v>
      </c>
      <c r="S28" s="124">
        <f t="shared" si="6"/>
        <v>0</v>
      </c>
      <c r="T28" s="124">
        <f t="shared" si="7"/>
        <v>0</v>
      </c>
      <c r="U28" s="124">
        <f t="shared" si="8"/>
        <v>0</v>
      </c>
      <c r="V28" s="124">
        <f t="shared" si="9"/>
        <v>0</v>
      </c>
      <c r="W28" s="124">
        <f t="shared" si="1"/>
        <v>1032.5</v>
      </c>
      <c r="X28" s="125"/>
      <c r="Y28" s="125"/>
    </row>
    <row r="29" spans="1:25" s="126" customFormat="1" ht="15" customHeight="1">
      <c r="A29" s="130">
        <v>22</v>
      </c>
      <c r="B29" s="133" t="s">
        <v>19</v>
      </c>
      <c r="C29" s="120">
        <v>13061</v>
      </c>
      <c r="D29" s="120">
        <v>13035</v>
      </c>
      <c r="E29" s="128">
        <v>122</v>
      </c>
      <c r="F29" s="128"/>
      <c r="G29" s="128">
        <v>1</v>
      </c>
      <c r="H29" s="128"/>
      <c r="I29" s="128">
        <v>1</v>
      </c>
      <c r="J29" s="128"/>
      <c r="K29" s="128">
        <v>3</v>
      </c>
      <c r="L29" s="128"/>
      <c r="M29" s="122">
        <v>3539</v>
      </c>
      <c r="N29" s="123">
        <f t="shared" si="0"/>
        <v>3.683</v>
      </c>
      <c r="O29" s="124">
        <f t="shared" si="2"/>
        <v>1590.2</v>
      </c>
      <c r="P29" s="124">
        <f t="shared" si="3"/>
        <v>0</v>
      </c>
      <c r="Q29" s="124">
        <f t="shared" si="4"/>
        <v>13</v>
      </c>
      <c r="R29" s="124">
        <f t="shared" si="5"/>
        <v>0</v>
      </c>
      <c r="S29" s="124">
        <f t="shared" si="6"/>
        <v>13</v>
      </c>
      <c r="T29" s="124">
        <f t="shared" si="7"/>
        <v>0</v>
      </c>
      <c r="U29" s="124">
        <f t="shared" si="8"/>
        <v>39.1</v>
      </c>
      <c r="V29" s="124">
        <f t="shared" si="9"/>
        <v>0</v>
      </c>
      <c r="W29" s="124">
        <f t="shared" si="1"/>
        <v>1655.3</v>
      </c>
      <c r="X29" s="125"/>
      <c r="Y29" s="125"/>
    </row>
    <row r="30" spans="1:25" s="126" customFormat="1" ht="18.75" customHeight="1">
      <c r="A30" s="127">
        <v>23</v>
      </c>
      <c r="B30" s="133" t="s">
        <v>20</v>
      </c>
      <c r="C30" s="120">
        <v>23385</v>
      </c>
      <c r="D30" s="120">
        <v>23321</v>
      </c>
      <c r="E30" s="128">
        <v>32</v>
      </c>
      <c r="F30" s="128">
        <v>1</v>
      </c>
      <c r="G30" s="128"/>
      <c r="H30" s="128"/>
      <c r="I30" s="128"/>
      <c r="J30" s="128"/>
      <c r="K30" s="128"/>
      <c r="L30" s="128"/>
      <c r="M30" s="122">
        <v>3539</v>
      </c>
      <c r="N30" s="123">
        <f t="shared" si="0"/>
        <v>6.59</v>
      </c>
      <c r="O30" s="124">
        <f t="shared" si="2"/>
        <v>746.3</v>
      </c>
      <c r="P30" s="124">
        <f t="shared" si="3"/>
        <v>23.3</v>
      </c>
      <c r="Q30" s="124">
        <f t="shared" si="4"/>
        <v>0</v>
      </c>
      <c r="R30" s="124">
        <f t="shared" si="5"/>
        <v>0</v>
      </c>
      <c r="S30" s="124">
        <f t="shared" si="6"/>
        <v>0</v>
      </c>
      <c r="T30" s="124">
        <f t="shared" si="7"/>
        <v>0</v>
      </c>
      <c r="U30" s="124">
        <f t="shared" si="8"/>
        <v>0</v>
      </c>
      <c r="V30" s="124">
        <f t="shared" si="9"/>
        <v>0</v>
      </c>
      <c r="W30" s="124">
        <f t="shared" si="1"/>
        <v>769.5999999999999</v>
      </c>
      <c r="X30" s="125"/>
      <c r="Y30" s="125"/>
    </row>
    <row r="31" spans="1:25" s="126" customFormat="1" ht="15.75">
      <c r="A31" s="130">
        <v>24</v>
      </c>
      <c r="B31" s="133" t="s">
        <v>21</v>
      </c>
      <c r="C31" s="120">
        <v>51840</v>
      </c>
      <c r="D31" s="120">
        <v>51708</v>
      </c>
      <c r="E31" s="128">
        <v>14</v>
      </c>
      <c r="F31" s="128"/>
      <c r="G31" s="128"/>
      <c r="H31" s="128"/>
      <c r="I31" s="128"/>
      <c r="J31" s="128"/>
      <c r="K31" s="128"/>
      <c r="L31" s="128"/>
      <c r="M31" s="122">
        <v>3539</v>
      </c>
      <c r="N31" s="123">
        <f t="shared" si="0"/>
        <v>14.611</v>
      </c>
      <c r="O31" s="124">
        <f t="shared" si="2"/>
        <v>723.9</v>
      </c>
      <c r="P31" s="124">
        <f t="shared" si="3"/>
        <v>0</v>
      </c>
      <c r="Q31" s="124">
        <f t="shared" si="4"/>
        <v>0</v>
      </c>
      <c r="R31" s="124">
        <f t="shared" si="5"/>
        <v>0</v>
      </c>
      <c r="S31" s="124">
        <f t="shared" si="6"/>
        <v>0</v>
      </c>
      <c r="T31" s="124">
        <f t="shared" si="7"/>
        <v>0</v>
      </c>
      <c r="U31" s="124">
        <f t="shared" si="8"/>
        <v>0</v>
      </c>
      <c r="V31" s="124">
        <f t="shared" si="9"/>
        <v>0</v>
      </c>
      <c r="W31" s="124">
        <f t="shared" si="1"/>
        <v>723.9</v>
      </c>
      <c r="X31" s="125"/>
      <c r="Y31" s="125"/>
    </row>
    <row r="32" spans="1:25" s="126" customFormat="1" ht="15.75">
      <c r="A32" s="127">
        <v>25</v>
      </c>
      <c r="B32" s="133" t="s">
        <v>22</v>
      </c>
      <c r="C32" s="120">
        <v>65785</v>
      </c>
      <c r="D32" s="120">
        <v>65610</v>
      </c>
      <c r="E32" s="128">
        <v>13</v>
      </c>
      <c r="F32" s="128"/>
      <c r="G32" s="128"/>
      <c r="H32" s="128"/>
      <c r="I32" s="128"/>
      <c r="J32" s="128"/>
      <c r="K32" s="128"/>
      <c r="L32" s="128"/>
      <c r="M32" s="122">
        <v>3539</v>
      </c>
      <c r="N32" s="123">
        <f t="shared" si="0"/>
        <v>18.539</v>
      </c>
      <c r="O32" s="124">
        <f t="shared" si="2"/>
        <v>852.9</v>
      </c>
      <c r="P32" s="124">
        <f t="shared" si="3"/>
        <v>0</v>
      </c>
      <c r="Q32" s="124">
        <f t="shared" si="4"/>
        <v>0</v>
      </c>
      <c r="R32" s="124">
        <f t="shared" si="5"/>
        <v>0</v>
      </c>
      <c r="S32" s="124">
        <f t="shared" si="6"/>
        <v>0</v>
      </c>
      <c r="T32" s="124">
        <f t="shared" si="7"/>
        <v>0</v>
      </c>
      <c r="U32" s="124">
        <f t="shared" si="8"/>
        <v>0</v>
      </c>
      <c r="V32" s="124">
        <f t="shared" si="9"/>
        <v>0</v>
      </c>
      <c r="W32" s="124">
        <f t="shared" si="1"/>
        <v>852.9</v>
      </c>
      <c r="X32" s="125"/>
      <c r="Y32" s="125"/>
    </row>
    <row r="33" spans="1:25" s="126" customFormat="1" ht="18" customHeight="1">
      <c r="A33" s="130">
        <v>26</v>
      </c>
      <c r="B33" s="133" t="s">
        <v>23</v>
      </c>
      <c r="C33" s="120">
        <v>26882</v>
      </c>
      <c r="D33" s="120">
        <v>26811</v>
      </c>
      <c r="E33" s="128">
        <v>45</v>
      </c>
      <c r="F33" s="128"/>
      <c r="G33" s="128"/>
      <c r="H33" s="128"/>
      <c r="I33" s="128"/>
      <c r="J33" s="128"/>
      <c r="K33" s="128">
        <v>1</v>
      </c>
      <c r="L33" s="128"/>
      <c r="M33" s="122">
        <v>3539</v>
      </c>
      <c r="N33" s="123">
        <f t="shared" si="0"/>
        <v>7.576</v>
      </c>
      <c r="O33" s="124">
        <f t="shared" si="2"/>
        <v>1206.5</v>
      </c>
      <c r="P33" s="124">
        <f t="shared" si="3"/>
        <v>0</v>
      </c>
      <c r="Q33" s="124">
        <f t="shared" si="4"/>
        <v>0</v>
      </c>
      <c r="R33" s="124">
        <f t="shared" si="5"/>
        <v>0</v>
      </c>
      <c r="S33" s="124">
        <f t="shared" si="6"/>
        <v>0</v>
      </c>
      <c r="T33" s="124">
        <f t="shared" si="7"/>
        <v>0</v>
      </c>
      <c r="U33" s="124">
        <f t="shared" si="8"/>
        <v>26.8</v>
      </c>
      <c r="V33" s="124">
        <f t="shared" si="9"/>
        <v>0</v>
      </c>
      <c r="W33" s="124">
        <f t="shared" si="1"/>
        <v>1233.3</v>
      </c>
      <c r="X33" s="125"/>
      <c r="Y33" s="125"/>
    </row>
    <row r="34" spans="1:25" s="126" customFormat="1" ht="24" customHeight="1">
      <c r="A34" s="127">
        <v>27</v>
      </c>
      <c r="B34" s="133" t="s">
        <v>24</v>
      </c>
      <c r="C34" s="120">
        <v>23444</v>
      </c>
      <c r="D34" s="120">
        <v>23398</v>
      </c>
      <c r="E34" s="128">
        <v>55</v>
      </c>
      <c r="F34" s="128"/>
      <c r="G34" s="128"/>
      <c r="H34" s="128"/>
      <c r="I34" s="128"/>
      <c r="J34" s="128"/>
      <c r="K34" s="128"/>
      <c r="L34" s="128"/>
      <c r="M34" s="122">
        <v>3539</v>
      </c>
      <c r="N34" s="123">
        <f t="shared" si="0"/>
        <v>6.611</v>
      </c>
      <c r="O34" s="124">
        <f t="shared" si="2"/>
        <v>1286.8</v>
      </c>
      <c r="P34" s="124">
        <f t="shared" si="3"/>
        <v>0</v>
      </c>
      <c r="Q34" s="124">
        <f t="shared" si="4"/>
        <v>0</v>
      </c>
      <c r="R34" s="124">
        <f t="shared" si="5"/>
        <v>0</v>
      </c>
      <c r="S34" s="124">
        <f t="shared" si="6"/>
        <v>0</v>
      </c>
      <c r="T34" s="124">
        <f t="shared" si="7"/>
        <v>0</v>
      </c>
      <c r="U34" s="124">
        <f t="shared" si="8"/>
        <v>0</v>
      </c>
      <c r="V34" s="124">
        <f t="shared" si="9"/>
        <v>0</v>
      </c>
      <c r="W34" s="124">
        <f t="shared" si="1"/>
        <v>1286.8</v>
      </c>
      <c r="X34" s="125"/>
      <c r="Y34" s="125"/>
    </row>
    <row r="35" spans="1:25" s="126" customFormat="1" ht="18" customHeight="1">
      <c r="A35" s="130">
        <v>28</v>
      </c>
      <c r="B35" s="133" t="s">
        <v>25</v>
      </c>
      <c r="C35" s="120">
        <v>52126</v>
      </c>
      <c r="D35" s="120">
        <v>52028</v>
      </c>
      <c r="E35" s="128">
        <v>20</v>
      </c>
      <c r="F35" s="128"/>
      <c r="G35" s="128"/>
      <c r="H35" s="128">
        <v>1</v>
      </c>
      <c r="I35" s="128"/>
      <c r="J35" s="128"/>
      <c r="K35" s="128"/>
      <c r="L35" s="128"/>
      <c r="M35" s="122">
        <v>3539</v>
      </c>
      <c r="N35" s="123">
        <f t="shared" si="0"/>
        <v>14.701</v>
      </c>
      <c r="O35" s="124">
        <f t="shared" si="2"/>
        <v>1040.5</v>
      </c>
      <c r="P35" s="124">
        <f t="shared" si="3"/>
        <v>0</v>
      </c>
      <c r="Q35" s="124">
        <f t="shared" si="4"/>
        <v>0</v>
      </c>
      <c r="R35" s="124">
        <f t="shared" si="5"/>
        <v>52</v>
      </c>
      <c r="S35" s="124">
        <f t="shared" si="6"/>
        <v>0</v>
      </c>
      <c r="T35" s="124">
        <f t="shared" si="7"/>
        <v>0</v>
      </c>
      <c r="U35" s="124">
        <f t="shared" si="8"/>
        <v>0</v>
      </c>
      <c r="V35" s="124">
        <f t="shared" si="9"/>
        <v>0</v>
      </c>
      <c r="W35" s="124">
        <f t="shared" si="1"/>
        <v>1092.5</v>
      </c>
      <c r="X35" s="125"/>
      <c r="Y35" s="125"/>
    </row>
    <row r="36" spans="1:25" s="126" customFormat="1" ht="18.75" customHeight="1">
      <c r="A36" s="127">
        <v>29</v>
      </c>
      <c r="B36" s="133" t="s">
        <v>26</v>
      </c>
      <c r="C36" s="120">
        <v>71080</v>
      </c>
      <c r="D36" s="120">
        <v>70998</v>
      </c>
      <c r="E36" s="128">
        <v>33</v>
      </c>
      <c r="F36" s="128"/>
      <c r="G36" s="128"/>
      <c r="H36" s="128"/>
      <c r="I36" s="128"/>
      <c r="J36" s="128"/>
      <c r="K36" s="128"/>
      <c r="L36" s="128"/>
      <c r="M36" s="122">
        <v>3539</v>
      </c>
      <c r="N36" s="123">
        <f t="shared" si="0"/>
        <v>20.062</v>
      </c>
      <c r="O36" s="124">
        <f t="shared" si="2"/>
        <v>2343</v>
      </c>
      <c r="P36" s="124">
        <f t="shared" si="3"/>
        <v>0</v>
      </c>
      <c r="Q36" s="124">
        <f t="shared" si="4"/>
        <v>0</v>
      </c>
      <c r="R36" s="124">
        <f t="shared" si="5"/>
        <v>0</v>
      </c>
      <c r="S36" s="124">
        <f t="shared" si="6"/>
        <v>0</v>
      </c>
      <c r="T36" s="124">
        <f t="shared" si="7"/>
        <v>0</v>
      </c>
      <c r="U36" s="124">
        <f t="shared" si="8"/>
        <v>0</v>
      </c>
      <c r="V36" s="124">
        <f t="shared" si="9"/>
        <v>0</v>
      </c>
      <c r="W36" s="124">
        <f t="shared" si="1"/>
        <v>2343</v>
      </c>
      <c r="X36" s="125"/>
      <c r="Y36" s="125"/>
    </row>
    <row r="37" spans="1:25" s="126" customFormat="1" ht="32.25" customHeight="1">
      <c r="A37" s="130">
        <v>30</v>
      </c>
      <c r="B37" s="133" t="s">
        <v>27</v>
      </c>
      <c r="C37" s="120">
        <v>47279</v>
      </c>
      <c r="D37" s="120">
        <v>47123</v>
      </c>
      <c r="E37" s="128">
        <v>20</v>
      </c>
      <c r="F37" s="128"/>
      <c r="G37" s="128"/>
      <c r="H37" s="128"/>
      <c r="I37" s="128"/>
      <c r="J37" s="128"/>
      <c r="K37" s="128"/>
      <c r="L37" s="128"/>
      <c r="M37" s="122">
        <v>3539</v>
      </c>
      <c r="N37" s="123">
        <f t="shared" si="0"/>
        <v>13.315</v>
      </c>
      <c r="O37" s="124">
        <f t="shared" si="2"/>
        <v>942.4</v>
      </c>
      <c r="P37" s="124">
        <f t="shared" si="3"/>
        <v>0</v>
      </c>
      <c r="Q37" s="124">
        <f t="shared" si="4"/>
        <v>0</v>
      </c>
      <c r="R37" s="124">
        <f t="shared" si="5"/>
        <v>0</v>
      </c>
      <c r="S37" s="124">
        <f t="shared" si="6"/>
        <v>0</v>
      </c>
      <c r="T37" s="124">
        <f t="shared" si="7"/>
        <v>0</v>
      </c>
      <c r="U37" s="124">
        <f t="shared" si="8"/>
        <v>0</v>
      </c>
      <c r="V37" s="124">
        <f t="shared" si="9"/>
        <v>0</v>
      </c>
      <c r="W37" s="124">
        <f t="shared" si="1"/>
        <v>942.4</v>
      </c>
      <c r="X37" s="125"/>
      <c r="Y37" s="125"/>
    </row>
    <row r="38" spans="1:25" s="126" customFormat="1" ht="31.5">
      <c r="A38" s="127">
        <v>31</v>
      </c>
      <c r="B38" s="133" t="s">
        <v>28</v>
      </c>
      <c r="C38" s="120">
        <v>29475</v>
      </c>
      <c r="D38" s="120">
        <v>29449</v>
      </c>
      <c r="E38" s="128">
        <v>47</v>
      </c>
      <c r="F38" s="128"/>
      <c r="G38" s="128"/>
      <c r="H38" s="128"/>
      <c r="I38" s="128"/>
      <c r="J38" s="128"/>
      <c r="K38" s="128"/>
      <c r="L38" s="128"/>
      <c r="M38" s="122">
        <v>3539</v>
      </c>
      <c r="N38" s="123">
        <f t="shared" si="0"/>
        <v>8.321</v>
      </c>
      <c r="O38" s="124">
        <f t="shared" si="2"/>
        <v>1384.1</v>
      </c>
      <c r="P38" s="124">
        <f t="shared" si="3"/>
        <v>0</v>
      </c>
      <c r="Q38" s="124">
        <f t="shared" si="4"/>
        <v>0</v>
      </c>
      <c r="R38" s="124">
        <f t="shared" si="5"/>
        <v>0</v>
      </c>
      <c r="S38" s="124">
        <f t="shared" si="6"/>
        <v>0</v>
      </c>
      <c r="T38" s="124">
        <f t="shared" si="7"/>
        <v>0</v>
      </c>
      <c r="U38" s="124">
        <f t="shared" si="8"/>
        <v>0</v>
      </c>
      <c r="V38" s="124">
        <f t="shared" si="9"/>
        <v>0</v>
      </c>
      <c r="W38" s="124">
        <f t="shared" si="1"/>
        <v>1384.1</v>
      </c>
      <c r="X38" s="125"/>
      <c r="Y38" s="125"/>
    </row>
    <row r="39" spans="1:25" s="126" customFormat="1" ht="15.75">
      <c r="A39" s="130">
        <v>32</v>
      </c>
      <c r="B39" s="133" t="s">
        <v>29</v>
      </c>
      <c r="C39" s="120">
        <v>51473</v>
      </c>
      <c r="D39" s="120">
        <v>51359</v>
      </c>
      <c r="E39" s="128">
        <v>33</v>
      </c>
      <c r="F39" s="128"/>
      <c r="G39" s="128"/>
      <c r="H39" s="128">
        <v>1</v>
      </c>
      <c r="I39" s="128"/>
      <c r="J39" s="128"/>
      <c r="K39" s="128">
        <v>2</v>
      </c>
      <c r="L39" s="128"/>
      <c r="M39" s="122">
        <v>3539</v>
      </c>
      <c r="N39" s="123">
        <f t="shared" si="0"/>
        <v>14.512</v>
      </c>
      <c r="O39" s="124">
        <f t="shared" si="2"/>
        <v>1694.8</v>
      </c>
      <c r="P39" s="124">
        <f t="shared" si="3"/>
        <v>0</v>
      </c>
      <c r="Q39" s="124">
        <f t="shared" si="4"/>
        <v>0</v>
      </c>
      <c r="R39" s="124">
        <f t="shared" si="5"/>
        <v>51.4</v>
      </c>
      <c r="S39" s="124">
        <f t="shared" si="6"/>
        <v>0</v>
      </c>
      <c r="T39" s="124">
        <f t="shared" si="7"/>
        <v>0</v>
      </c>
      <c r="U39" s="124">
        <f t="shared" si="8"/>
        <v>102.7</v>
      </c>
      <c r="V39" s="124">
        <f t="shared" si="9"/>
        <v>0</v>
      </c>
      <c r="W39" s="124">
        <f t="shared" si="1"/>
        <v>1848.9</v>
      </c>
      <c r="X39" s="125"/>
      <c r="Y39" s="125"/>
    </row>
    <row r="40" spans="1:25" s="126" customFormat="1" ht="31.5">
      <c r="A40" s="127">
        <v>33</v>
      </c>
      <c r="B40" s="133" t="s">
        <v>30</v>
      </c>
      <c r="C40" s="120">
        <v>29038</v>
      </c>
      <c r="D40" s="120">
        <v>28833</v>
      </c>
      <c r="E40" s="128">
        <v>16</v>
      </c>
      <c r="F40" s="128"/>
      <c r="G40" s="128"/>
      <c r="H40" s="128"/>
      <c r="I40" s="128"/>
      <c r="J40" s="128"/>
      <c r="K40" s="128">
        <v>1</v>
      </c>
      <c r="L40" s="128"/>
      <c r="M40" s="122">
        <v>3539</v>
      </c>
      <c r="N40" s="123">
        <f t="shared" si="0"/>
        <v>8.147</v>
      </c>
      <c r="O40" s="124">
        <f t="shared" si="2"/>
        <v>461.3</v>
      </c>
      <c r="P40" s="124">
        <f t="shared" si="3"/>
        <v>0</v>
      </c>
      <c r="Q40" s="124">
        <f t="shared" si="4"/>
        <v>0</v>
      </c>
      <c r="R40" s="124">
        <f t="shared" si="5"/>
        <v>0</v>
      </c>
      <c r="S40" s="124">
        <f t="shared" si="6"/>
        <v>0</v>
      </c>
      <c r="T40" s="124">
        <f t="shared" si="7"/>
        <v>0</v>
      </c>
      <c r="U40" s="124">
        <f t="shared" si="8"/>
        <v>28.8</v>
      </c>
      <c r="V40" s="124">
        <f t="shared" si="9"/>
        <v>0</v>
      </c>
      <c r="W40" s="124">
        <f t="shared" si="1"/>
        <v>490.1</v>
      </c>
      <c r="X40" s="125"/>
      <c r="Y40" s="125"/>
    </row>
    <row r="41" spans="1:25" s="126" customFormat="1" ht="18.75" customHeight="1">
      <c r="A41" s="130">
        <v>34</v>
      </c>
      <c r="B41" s="133" t="s">
        <v>31</v>
      </c>
      <c r="C41" s="120">
        <v>16744</v>
      </c>
      <c r="D41" s="120">
        <v>16713</v>
      </c>
      <c r="E41" s="128">
        <v>84</v>
      </c>
      <c r="F41" s="128"/>
      <c r="G41" s="128"/>
      <c r="H41" s="128">
        <v>5</v>
      </c>
      <c r="I41" s="128"/>
      <c r="J41" s="128"/>
      <c r="K41" s="128"/>
      <c r="L41" s="128">
        <v>2</v>
      </c>
      <c r="M41" s="122">
        <v>3539</v>
      </c>
      <c r="N41" s="123">
        <f t="shared" si="0"/>
        <v>4.723</v>
      </c>
      <c r="O41" s="124">
        <f t="shared" si="2"/>
        <v>1404</v>
      </c>
      <c r="P41" s="124">
        <f t="shared" si="3"/>
        <v>0</v>
      </c>
      <c r="Q41" s="124">
        <f t="shared" si="4"/>
        <v>0</v>
      </c>
      <c r="R41" s="124">
        <f t="shared" si="5"/>
        <v>83.6</v>
      </c>
      <c r="S41" s="124">
        <f t="shared" si="6"/>
        <v>0</v>
      </c>
      <c r="T41" s="124">
        <f t="shared" si="7"/>
        <v>0</v>
      </c>
      <c r="U41" s="124">
        <f t="shared" si="8"/>
        <v>0</v>
      </c>
      <c r="V41" s="124">
        <f t="shared" si="9"/>
        <v>33.4</v>
      </c>
      <c r="W41" s="124">
        <f t="shared" si="1"/>
        <v>1521</v>
      </c>
      <c r="X41" s="125"/>
      <c r="Y41" s="125"/>
    </row>
    <row r="42" spans="1:25" s="126" customFormat="1" ht="36.75" customHeight="1">
      <c r="A42" s="127">
        <v>35</v>
      </c>
      <c r="B42" s="133" t="s">
        <v>32</v>
      </c>
      <c r="C42" s="120">
        <v>16816</v>
      </c>
      <c r="D42" s="120">
        <v>16794</v>
      </c>
      <c r="E42" s="128">
        <v>112</v>
      </c>
      <c r="F42" s="128"/>
      <c r="G42" s="128"/>
      <c r="H42" s="128">
        <v>2</v>
      </c>
      <c r="I42" s="128"/>
      <c r="J42" s="128"/>
      <c r="K42" s="128"/>
      <c r="L42" s="128"/>
      <c r="M42" s="122">
        <v>3539</v>
      </c>
      <c r="N42" s="123">
        <f t="shared" si="0"/>
        <v>4.745</v>
      </c>
      <c r="O42" s="124">
        <f t="shared" si="2"/>
        <v>1880.8</v>
      </c>
      <c r="P42" s="124">
        <f t="shared" si="3"/>
        <v>0</v>
      </c>
      <c r="Q42" s="124">
        <f t="shared" si="4"/>
        <v>0</v>
      </c>
      <c r="R42" s="124">
        <f t="shared" si="5"/>
        <v>33.6</v>
      </c>
      <c r="S42" s="124">
        <f t="shared" si="6"/>
        <v>0</v>
      </c>
      <c r="T42" s="124">
        <f t="shared" si="7"/>
        <v>0</v>
      </c>
      <c r="U42" s="124">
        <f t="shared" si="8"/>
        <v>0</v>
      </c>
      <c r="V42" s="124">
        <f t="shared" si="9"/>
        <v>0</v>
      </c>
      <c r="W42" s="124">
        <f t="shared" si="1"/>
        <v>1914.3999999999999</v>
      </c>
      <c r="X42" s="125"/>
      <c r="Y42" s="125"/>
    </row>
    <row r="43" spans="1:25" s="126" customFormat="1" ht="29.25" customHeight="1">
      <c r="A43" s="130">
        <v>36</v>
      </c>
      <c r="B43" s="133" t="s">
        <v>33</v>
      </c>
      <c r="C43" s="120">
        <v>6728</v>
      </c>
      <c r="D43" s="120">
        <v>6697</v>
      </c>
      <c r="E43" s="128">
        <v>75</v>
      </c>
      <c r="F43" s="128">
        <v>2</v>
      </c>
      <c r="G43" s="128"/>
      <c r="H43" s="128">
        <v>1</v>
      </c>
      <c r="I43" s="128"/>
      <c r="J43" s="128"/>
      <c r="K43" s="128">
        <v>1</v>
      </c>
      <c r="L43" s="128"/>
      <c r="M43" s="122">
        <v>3539</v>
      </c>
      <c r="N43" s="123">
        <f t="shared" si="0"/>
        <v>1.892</v>
      </c>
      <c r="O43" s="124">
        <f t="shared" si="2"/>
        <v>502.2</v>
      </c>
      <c r="P43" s="124">
        <f t="shared" si="3"/>
        <v>13.4</v>
      </c>
      <c r="Q43" s="124">
        <f t="shared" si="4"/>
        <v>0</v>
      </c>
      <c r="R43" s="124">
        <f t="shared" si="5"/>
        <v>6.7</v>
      </c>
      <c r="S43" s="124">
        <f t="shared" si="6"/>
        <v>0</v>
      </c>
      <c r="T43" s="124">
        <f t="shared" si="7"/>
        <v>0</v>
      </c>
      <c r="U43" s="124">
        <f t="shared" si="8"/>
        <v>6.7</v>
      </c>
      <c r="V43" s="124">
        <f t="shared" si="9"/>
        <v>0</v>
      </c>
      <c r="W43" s="124">
        <f t="shared" si="1"/>
        <v>529.0000000000001</v>
      </c>
      <c r="X43" s="125"/>
      <c r="Y43" s="125"/>
    </row>
    <row r="44" spans="1:25" s="126" customFormat="1" ht="29.25" customHeight="1">
      <c r="A44" s="127">
        <v>37</v>
      </c>
      <c r="B44" s="133" t="s">
        <v>34</v>
      </c>
      <c r="C44" s="120">
        <v>11106</v>
      </c>
      <c r="D44" s="120">
        <v>11047</v>
      </c>
      <c r="E44" s="128">
        <v>34</v>
      </c>
      <c r="F44" s="128"/>
      <c r="G44" s="128"/>
      <c r="H44" s="128">
        <v>5</v>
      </c>
      <c r="I44" s="128"/>
      <c r="J44" s="128"/>
      <c r="K44" s="128"/>
      <c r="L44" s="128"/>
      <c r="M44" s="122">
        <v>3539</v>
      </c>
      <c r="N44" s="123">
        <f t="shared" si="0"/>
        <v>3.122</v>
      </c>
      <c r="O44" s="124">
        <f t="shared" si="2"/>
        <v>375.7</v>
      </c>
      <c r="P44" s="124">
        <f t="shared" si="3"/>
        <v>0</v>
      </c>
      <c r="Q44" s="124">
        <f t="shared" si="4"/>
        <v>0</v>
      </c>
      <c r="R44" s="124">
        <f t="shared" si="5"/>
        <v>55.2</v>
      </c>
      <c r="S44" s="124">
        <f t="shared" si="6"/>
        <v>0</v>
      </c>
      <c r="T44" s="124">
        <f t="shared" si="7"/>
        <v>0</v>
      </c>
      <c r="U44" s="124">
        <f t="shared" si="8"/>
        <v>0</v>
      </c>
      <c r="V44" s="124">
        <f t="shared" si="9"/>
        <v>0</v>
      </c>
      <c r="W44" s="124">
        <f t="shared" si="1"/>
        <v>430.9</v>
      </c>
      <c r="X44" s="125"/>
      <c r="Y44" s="125"/>
    </row>
    <row r="45" spans="1:25" s="126" customFormat="1" ht="31.5">
      <c r="A45" s="130">
        <v>38</v>
      </c>
      <c r="B45" s="133" t="s">
        <v>35</v>
      </c>
      <c r="C45" s="120">
        <v>37518</v>
      </c>
      <c r="D45" s="120">
        <v>37456</v>
      </c>
      <c r="E45" s="135">
        <v>22</v>
      </c>
      <c r="F45" s="128"/>
      <c r="G45" s="128"/>
      <c r="H45" s="128"/>
      <c r="I45" s="128"/>
      <c r="J45" s="128"/>
      <c r="K45" s="128"/>
      <c r="L45" s="128"/>
      <c r="M45" s="122">
        <v>3539</v>
      </c>
      <c r="N45" s="123">
        <f t="shared" si="0"/>
        <v>10.584</v>
      </c>
      <c r="O45" s="124">
        <f t="shared" si="2"/>
        <v>824</v>
      </c>
      <c r="P45" s="124">
        <f t="shared" si="3"/>
        <v>0</v>
      </c>
      <c r="Q45" s="124">
        <f t="shared" si="4"/>
        <v>0</v>
      </c>
      <c r="R45" s="124">
        <f t="shared" si="5"/>
        <v>0</v>
      </c>
      <c r="S45" s="124">
        <f t="shared" si="6"/>
        <v>0</v>
      </c>
      <c r="T45" s="124">
        <f t="shared" si="7"/>
        <v>0</v>
      </c>
      <c r="U45" s="124">
        <f t="shared" si="8"/>
        <v>0</v>
      </c>
      <c r="V45" s="124">
        <f t="shared" si="9"/>
        <v>0</v>
      </c>
      <c r="W45" s="124">
        <f t="shared" si="1"/>
        <v>824</v>
      </c>
      <c r="X45" s="125"/>
      <c r="Y45" s="125"/>
    </row>
    <row r="46" spans="1:25" s="126" customFormat="1" ht="32.25" thickBot="1">
      <c r="A46" s="127">
        <v>39</v>
      </c>
      <c r="B46" s="136" t="s">
        <v>36</v>
      </c>
      <c r="C46" s="120">
        <v>35588</v>
      </c>
      <c r="D46" s="137">
        <v>35588</v>
      </c>
      <c r="E46" s="138">
        <v>31</v>
      </c>
      <c r="F46" s="128"/>
      <c r="G46" s="128"/>
      <c r="H46" s="128"/>
      <c r="I46" s="128"/>
      <c r="J46" s="128"/>
      <c r="K46" s="128"/>
      <c r="L46" s="128"/>
      <c r="M46" s="122">
        <v>3539</v>
      </c>
      <c r="N46" s="123">
        <f t="shared" si="0"/>
        <v>10.056</v>
      </c>
      <c r="O46" s="124">
        <f t="shared" si="2"/>
        <v>1103.2</v>
      </c>
      <c r="P46" s="124">
        <f t="shared" si="3"/>
        <v>0</v>
      </c>
      <c r="Q46" s="124">
        <f t="shared" si="4"/>
        <v>0</v>
      </c>
      <c r="R46" s="124">
        <f t="shared" si="5"/>
        <v>0</v>
      </c>
      <c r="S46" s="124">
        <f t="shared" si="6"/>
        <v>0</v>
      </c>
      <c r="T46" s="124">
        <f t="shared" si="7"/>
        <v>0</v>
      </c>
      <c r="U46" s="124">
        <f t="shared" si="8"/>
        <v>0</v>
      </c>
      <c r="V46" s="124">
        <f t="shared" si="9"/>
        <v>0</v>
      </c>
      <c r="W46" s="124">
        <f t="shared" si="1"/>
        <v>1103.2</v>
      </c>
      <c r="X46" s="125"/>
      <c r="Y46" s="125"/>
    </row>
    <row r="47" spans="1:25" s="126" customFormat="1" ht="51.75" customHeight="1" thickBot="1">
      <c r="A47" s="139"/>
      <c r="B47" s="140" t="s">
        <v>78</v>
      </c>
      <c r="C47" s="141"/>
      <c r="D47" s="142"/>
      <c r="E47" s="143">
        <f>SUM(E8:E46)</f>
        <v>4127</v>
      </c>
      <c r="F47" s="143">
        <f aca="true" t="shared" si="10" ref="F47:L47">SUM(F8:F46)</f>
        <v>19</v>
      </c>
      <c r="G47" s="143">
        <f>SUM(G8:G46)</f>
        <v>10</v>
      </c>
      <c r="H47" s="143">
        <f>SUM(H8:H46)</f>
        <v>55</v>
      </c>
      <c r="I47" s="143">
        <f t="shared" si="10"/>
        <v>10</v>
      </c>
      <c r="J47" s="143">
        <f t="shared" si="10"/>
        <v>1</v>
      </c>
      <c r="K47" s="143">
        <f t="shared" si="10"/>
        <v>30</v>
      </c>
      <c r="L47" s="143">
        <f t="shared" si="10"/>
        <v>18</v>
      </c>
      <c r="M47" s="144"/>
      <c r="N47" s="144"/>
      <c r="O47" s="124">
        <f>SUM(O8:O46)</f>
        <v>46324.299999999996</v>
      </c>
      <c r="P47" s="124">
        <f aca="true" t="shared" si="11" ref="P47:W47">SUM(P8:P46)</f>
        <v>170.9</v>
      </c>
      <c r="Q47" s="124">
        <f t="shared" si="11"/>
        <v>105.3</v>
      </c>
      <c r="R47" s="124">
        <f t="shared" si="11"/>
        <v>661.2</v>
      </c>
      <c r="S47" s="124">
        <f t="shared" si="11"/>
        <v>97.19999999999999</v>
      </c>
      <c r="T47" s="124">
        <f t="shared" si="11"/>
        <v>7.1</v>
      </c>
      <c r="U47" s="124">
        <f t="shared" si="11"/>
        <v>406.7</v>
      </c>
      <c r="V47" s="124">
        <f t="shared" si="11"/>
        <v>175.50000000000003</v>
      </c>
      <c r="W47" s="124">
        <f t="shared" si="11"/>
        <v>47948.299999999996</v>
      </c>
      <c r="X47" s="125"/>
      <c r="Y47" s="125"/>
    </row>
    <row r="48" spans="1:25" s="104" customFormat="1" ht="18" customHeight="1">
      <c r="A48" s="145"/>
      <c r="B48" s="146"/>
      <c r="C48" s="146"/>
      <c r="D48" s="146"/>
      <c r="E48" s="147">
        <f>SUM(E47:L47)</f>
        <v>4270</v>
      </c>
      <c r="F48" s="146"/>
      <c r="G48" s="146"/>
      <c r="H48" s="146"/>
      <c r="I48" s="146"/>
      <c r="J48" s="146"/>
      <c r="K48" s="146"/>
      <c r="L48" s="146"/>
      <c r="M48" s="148"/>
      <c r="N48" s="148"/>
      <c r="W48" s="149">
        <f>SUM(O47:V47)</f>
        <v>47948.19999999999</v>
      </c>
      <c r="X48" s="105"/>
      <c r="Y48" s="105"/>
    </row>
    <row r="49" spans="1:25" s="104" customFormat="1" ht="15.75">
      <c r="A49" s="150"/>
      <c r="B49" s="151"/>
      <c r="C49" s="151"/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X49" s="105"/>
      <c r="Y49" s="105"/>
    </row>
    <row r="50" spans="1:25" s="104" customFormat="1" ht="15.75">
      <c r="A50" s="150"/>
      <c r="B50" s="151"/>
      <c r="C50" s="151"/>
      <c r="D50" s="151"/>
      <c r="E50" s="152">
        <f>E48+'Школы-основная'!E48+'Школы-средняя'!E48</f>
        <v>9386</v>
      </c>
      <c r="F50" s="152"/>
      <c r="G50" s="152"/>
      <c r="H50" s="152"/>
      <c r="I50" s="152"/>
      <c r="J50" s="152"/>
      <c r="K50" s="152"/>
      <c r="L50" s="152"/>
      <c r="M50" s="152"/>
      <c r="N50" s="152"/>
      <c r="W50" s="149"/>
      <c r="X50" s="105"/>
      <c r="Y50" s="105"/>
    </row>
    <row r="51" spans="1:25" s="104" customFormat="1" ht="15.75">
      <c r="A51" s="150"/>
      <c r="B51" s="151"/>
      <c r="C51" s="151"/>
      <c r="D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X51" s="105"/>
      <c r="Y51" s="105"/>
    </row>
    <row r="52" spans="1:25" s="104" customFormat="1" ht="15.75">
      <c r="A52" s="150"/>
      <c r="B52" s="151"/>
      <c r="C52" s="151"/>
      <c r="D52" s="151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X52" s="105"/>
      <c r="Y52" s="105"/>
    </row>
    <row r="53" spans="1:25" s="104" customFormat="1" ht="15.75">
      <c r="A53" s="150"/>
      <c r="B53" s="153"/>
      <c r="C53" s="153"/>
      <c r="D53" s="153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X53" s="105"/>
      <c r="Y53" s="105"/>
    </row>
    <row r="54" spans="1:25" s="104" customFormat="1" ht="15.75">
      <c r="A54" s="150"/>
      <c r="B54" s="153"/>
      <c r="C54" s="153"/>
      <c r="D54" s="153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X54" s="105"/>
      <c r="Y54" s="105"/>
    </row>
    <row r="55" spans="1:25" s="104" customFormat="1" ht="16.5" customHeight="1">
      <c r="A55" s="150"/>
      <c r="B55" s="151"/>
      <c r="C55" s="151"/>
      <c r="D55" s="151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X55" s="105"/>
      <c r="Y55" s="105"/>
    </row>
    <row r="56" spans="1:25" s="104" customFormat="1" ht="15.75">
      <c r="A56" s="150"/>
      <c r="B56" s="151"/>
      <c r="C56" s="151"/>
      <c r="D56" s="151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X56" s="105"/>
      <c r="Y56" s="105"/>
    </row>
    <row r="57" spans="1:25" s="104" customFormat="1" ht="15.75">
      <c r="A57" s="150"/>
      <c r="B57" s="151"/>
      <c r="C57" s="151"/>
      <c r="D57" s="151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X57" s="105"/>
      <c r="Y57" s="105"/>
    </row>
    <row r="58" spans="1:25" s="104" customFormat="1" ht="15.75">
      <c r="A58" s="150"/>
      <c r="B58" s="151"/>
      <c r="C58" s="151"/>
      <c r="D58" s="151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X58" s="105"/>
      <c r="Y58" s="105"/>
    </row>
    <row r="59" spans="1:25" s="104" customFormat="1" ht="15.75">
      <c r="A59" s="150"/>
      <c r="B59" s="151"/>
      <c r="C59" s="151"/>
      <c r="D59" s="151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X59" s="105"/>
      <c r="Y59" s="105"/>
    </row>
    <row r="60" spans="1:25" s="104" customFormat="1" ht="15.75">
      <c r="A60" s="150"/>
      <c r="B60" s="151"/>
      <c r="C60" s="151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X60" s="105"/>
      <c r="Y60" s="105"/>
    </row>
    <row r="61" spans="1:25" s="104" customFormat="1" ht="15.75">
      <c r="A61" s="150"/>
      <c r="B61" s="154"/>
      <c r="C61" s="154"/>
      <c r="D61" s="154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X61" s="105"/>
      <c r="Y61" s="105"/>
    </row>
    <row r="62" spans="1:25" s="157" customFormat="1" ht="16.5" customHeigh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156"/>
      <c r="N62" s="156"/>
      <c r="X62" s="158"/>
      <c r="Y62" s="158"/>
    </row>
    <row r="63" spans="1:14" ht="15.75">
      <c r="A63" s="150"/>
      <c r="B63" s="153"/>
      <c r="C63" s="153"/>
      <c r="D63" s="153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  <row r="64" spans="1:14" ht="15.75">
      <c r="A64" s="150"/>
      <c r="B64" s="153"/>
      <c r="C64" s="153"/>
      <c r="D64" s="153"/>
      <c r="E64" s="152"/>
      <c r="F64" s="152"/>
      <c r="G64" s="152"/>
      <c r="H64" s="152"/>
      <c r="I64" s="152"/>
      <c r="J64" s="152"/>
      <c r="K64" s="152"/>
      <c r="L64" s="152"/>
      <c r="M64" s="152"/>
      <c r="N64" s="152"/>
    </row>
    <row r="65" spans="1:14" ht="15.75">
      <c r="A65" s="150"/>
      <c r="B65" s="153"/>
      <c r="C65" s="153"/>
      <c r="D65" s="153"/>
      <c r="E65" s="152"/>
      <c r="F65" s="152"/>
      <c r="G65" s="152"/>
      <c r="H65" s="152"/>
      <c r="I65" s="152"/>
      <c r="J65" s="152"/>
      <c r="K65" s="152"/>
      <c r="L65" s="152"/>
      <c r="M65" s="152"/>
      <c r="N65" s="152"/>
    </row>
    <row r="66" spans="1:14" ht="15.75">
      <c r="A66" s="150"/>
      <c r="B66" s="153"/>
      <c r="C66" s="153"/>
      <c r="D66" s="153"/>
      <c r="E66" s="152"/>
      <c r="F66" s="152"/>
      <c r="G66" s="152"/>
      <c r="H66" s="152"/>
      <c r="I66" s="152"/>
      <c r="J66" s="152"/>
      <c r="K66" s="152"/>
      <c r="L66" s="152"/>
      <c r="M66" s="152"/>
      <c r="N66" s="152"/>
    </row>
    <row r="67" spans="1:14" ht="18" customHeight="1">
      <c r="A67" s="150"/>
      <c r="B67" s="153"/>
      <c r="C67" s="153"/>
      <c r="D67" s="153"/>
      <c r="E67" s="152"/>
      <c r="F67" s="152"/>
      <c r="G67" s="152"/>
      <c r="H67" s="152"/>
      <c r="I67" s="152"/>
      <c r="J67" s="152"/>
      <c r="K67" s="152"/>
      <c r="L67" s="152"/>
      <c r="M67" s="152"/>
      <c r="N67" s="152"/>
    </row>
    <row r="68" spans="1:14" ht="15.75">
      <c r="A68" s="150"/>
      <c r="B68" s="153"/>
      <c r="C68" s="153"/>
      <c r="D68" s="153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1:14" ht="15.75">
      <c r="A69" s="150"/>
      <c r="B69" s="153"/>
      <c r="C69" s="153"/>
      <c r="D69" s="153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1:14" ht="15.75">
      <c r="A70" s="150"/>
      <c r="B70" s="153"/>
      <c r="C70" s="153"/>
      <c r="D70" s="153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 ht="15.75">
      <c r="A71" s="150"/>
      <c r="B71" s="153"/>
      <c r="C71" s="153"/>
      <c r="D71" s="153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1:14" ht="15.75">
      <c r="A72" s="150"/>
      <c r="B72" s="153"/>
      <c r="C72" s="153"/>
      <c r="D72" s="153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1:14" ht="15.75">
      <c r="A73" s="150"/>
      <c r="B73" s="151"/>
      <c r="C73" s="151"/>
      <c r="D73" s="151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1:14" ht="15.75">
      <c r="A74" s="150"/>
      <c r="B74" s="151"/>
      <c r="C74" s="151"/>
      <c r="D74" s="151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1:14" ht="15.75">
      <c r="A75" s="150"/>
      <c r="B75" s="151"/>
      <c r="C75" s="151"/>
      <c r="D75" s="151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15.75">
      <c r="A76" s="150"/>
      <c r="B76" s="151"/>
      <c r="C76" s="151"/>
      <c r="D76" s="151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5.75">
      <c r="A77" s="150"/>
      <c r="B77" s="151"/>
      <c r="C77" s="151"/>
      <c r="D77" s="151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1:14" ht="15.75">
      <c r="A78" s="150"/>
      <c r="B78" s="151"/>
      <c r="C78" s="151"/>
      <c r="D78" s="151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1:14" ht="15.75">
      <c r="A79" s="150"/>
      <c r="B79" s="151"/>
      <c r="C79" s="151"/>
      <c r="D79" s="151"/>
      <c r="E79" s="152"/>
      <c r="F79" s="152"/>
      <c r="G79" s="152"/>
      <c r="H79" s="152"/>
      <c r="I79" s="152"/>
      <c r="J79" s="152"/>
      <c r="K79" s="152"/>
      <c r="L79" s="152"/>
      <c r="M79" s="152"/>
      <c r="N79" s="152"/>
    </row>
    <row r="80" spans="1:14" ht="15.75">
      <c r="A80" s="150"/>
      <c r="B80" s="151"/>
      <c r="C80" s="151"/>
      <c r="D80" s="151"/>
      <c r="E80" s="152"/>
      <c r="F80" s="152"/>
      <c r="G80" s="152"/>
      <c r="H80" s="152"/>
      <c r="I80" s="152"/>
      <c r="J80" s="152"/>
      <c r="K80" s="152"/>
      <c r="L80" s="152"/>
      <c r="M80" s="152"/>
      <c r="N80" s="152"/>
    </row>
    <row r="81" spans="1:14" ht="15.75">
      <c r="A81" s="150"/>
      <c r="B81" s="151"/>
      <c r="C81" s="151"/>
      <c r="D81" s="151"/>
      <c r="E81" s="152"/>
      <c r="F81" s="152"/>
      <c r="G81" s="152"/>
      <c r="H81" s="152"/>
      <c r="I81" s="152"/>
      <c r="J81" s="152"/>
      <c r="K81" s="152"/>
      <c r="L81" s="152"/>
      <c r="M81" s="152"/>
      <c r="N81" s="152"/>
    </row>
    <row r="82" spans="1:14" ht="15.75">
      <c r="A82" s="150"/>
      <c r="B82" s="151"/>
      <c r="C82" s="151"/>
      <c r="D82" s="151"/>
      <c r="E82" s="152"/>
      <c r="F82" s="152"/>
      <c r="G82" s="152"/>
      <c r="H82" s="152"/>
      <c r="I82" s="152"/>
      <c r="J82" s="152"/>
      <c r="K82" s="152"/>
      <c r="L82" s="152"/>
      <c r="M82" s="152"/>
      <c r="N82" s="152"/>
    </row>
    <row r="83" spans="1:14" ht="15.75">
      <c r="A83" s="150"/>
      <c r="B83" s="151"/>
      <c r="C83" s="151"/>
      <c r="D83" s="151"/>
      <c r="E83" s="152"/>
      <c r="F83" s="152"/>
      <c r="G83" s="152"/>
      <c r="H83" s="152"/>
      <c r="I83" s="152"/>
      <c r="J83" s="152"/>
      <c r="K83" s="152"/>
      <c r="L83" s="152"/>
      <c r="M83" s="152"/>
      <c r="N83" s="152"/>
    </row>
    <row r="84" spans="1:14" ht="15.75">
      <c r="A84" s="150"/>
      <c r="B84" s="151"/>
      <c r="C84" s="151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</row>
    <row r="85" spans="1:14" ht="15.75">
      <c r="A85" s="150"/>
      <c r="B85" s="151"/>
      <c r="C85" s="151"/>
      <c r="D85" s="151"/>
      <c r="E85" s="152"/>
      <c r="F85" s="152"/>
      <c r="G85" s="152"/>
      <c r="H85" s="152"/>
      <c r="I85" s="152"/>
      <c r="J85" s="152"/>
      <c r="K85" s="152"/>
      <c r="L85" s="152"/>
      <c r="M85" s="152"/>
      <c r="N85" s="152"/>
    </row>
    <row r="86" spans="1:14" ht="15.75">
      <c r="A86" s="150"/>
      <c r="B86" s="151"/>
      <c r="C86" s="151"/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2"/>
    </row>
    <row r="87" spans="1:14" ht="15.75">
      <c r="A87" s="150"/>
      <c r="B87" s="151"/>
      <c r="C87" s="151"/>
      <c r="D87" s="151"/>
      <c r="E87" s="152"/>
      <c r="F87" s="152"/>
      <c r="G87" s="152"/>
      <c r="H87" s="152"/>
      <c r="I87" s="152"/>
      <c r="J87" s="152"/>
      <c r="K87" s="152"/>
      <c r="L87" s="152"/>
      <c r="M87" s="152"/>
      <c r="N87" s="152"/>
    </row>
    <row r="88" spans="1:14" ht="15.75">
      <c r="A88" s="150"/>
      <c r="B88" s="151"/>
      <c r="C88" s="151"/>
      <c r="D88" s="151"/>
      <c r="E88" s="152"/>
      <c r="F88" s="152"/>
      <c r="G88" s="152"/>
      <c r="H88" s="152"/>
      <c r="I88" s="152"/>
      <c r="J88" s="152"/>
      <c r="K88" s="152"/>
      <c r="L88" s="152"/>
      <c r="M88" s="152"/>
      <c r="N88" s="152"/>
    </row>
    <row r="89" spans="1:14" ht="15.75">
      <c r="A89" s="150"/>
      <c r="B89" s="151"/>
      <c r="C89" s="151"/>
      <c r="D89" s="151"/>
      <c r="E89" s="152"/>
      <c r="F89" s="152"/>
      <c r="G89" s="152"/>
      <c r="H89" s="152"/>
      <c r="I89" s="152"/>
      <c r="J89" s="152"/>
      <c r="K89" s="152"/>
      <c r="L89" s="152"/>
      <c r="M89" s="152"/>
      <c r="N89" s="152"/>
    </row>
    <row r="90" spans="1:14" ht="15.75">
      <c r="A90" s="150"/>
      <c r="B90" s="151"/>
      <c r="C90" s="151"/>
      <c r="D90" s="151"/>
      <c r="E90" s="152"/>
      <c r="F90" s="152"/>
      <c r="G90" s="152"/>
      <c r="H90" s="152"/>
      <c r="I90" s="152"/>
      <c r="J90" s="152"/>
      <c r="K90" s="152"/>
      <c r="L90" s="152"/>
      <c r="M90" s="152"/>
      <c r="N90" s="152"/>
    </row>
    <row r="91" spans="1:14" ht="15.75">
      <c r="A91" s="150"/>
      <c r="B91" s="151"/>
      <c r="C91" s="151"/>
      <c r="D91" s="151"/>
      <c r="E91" s="152"/>
      <c r="F91" s="152"/>
      <c r="G91" s="152"/>
      <c r="H91" s="152"/>
      <c r="I91" s="152"/>
      <c r="J91" s="152"/>
      <c r="K91" s="152"/>
      <c r="L91" s="152"/>
      <c r="M91" s="152"/>
      <c r="N91" s="152"/>
    </row>
    <row r="92" spans="1:14" ht="15.75">
      <c r="A92" s="150"/>
      <c r="B92" s="151"/>
      <c r="C92" s="151"/>
      <c r="D92" s="151"/>
      <c r="E92" s="152"/>
      <c r="F92" s="152"/>
      <c r="G92" s="152"/>
      <c r="H92" s="152"/>
      <c r="I92" s="152"/>
      <c r="J92" s="152"/>
      <c r="K92" s="152"/>
      <c r="L92" s="152"/>
      <c r="M92" s="152"/>
      <c r="N92" s="152"/>
    </row>
    <row r="93" spans="1:14" ht="15.75">
      <c r="A93" s="150"/>
      <c r="B93" s="151"/>
      <c r="C93" s="151"/>
      <c r="D93" s="151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  <row r="94" spans="1:14" ht="15.75">
      <c r="A94" s="150"/>
      <c r="B94" s="151"/>
      <c r="C94" s="151"/>
      <c r="D94" s="151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1:14" ht="15.75">
      <c r="A95" s="150"/>
      <c r="B95" s="151"/>
      <c r="C95" s="151"/>
      <c r="D95" s="151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15.75">
      <c r="A96" s="150"/>
      <c r="B96" s="151"/>
      <c r="C96" s="151"/>
      <c r="D96" s="151"/>
      <c r="E96" s="152"/>
      <c r="F96" s="152"/>
      <c r="G96" s="152"/>
      <c r="H96" s="152"/>
      <c r="I96" s="152"/>
      <c r="J96" s="152"/>
      <c r="K96" s="152"/>
      <c r="L96" s="152"/>
      <c r="M96" s="152"/>
      <c r="N96" s="152"/>
    </row>
    <row r="97" spans="1:14" ht="15.75">
      <c r="A97" s="150"/>
      <c r="B97" s="151"/>
      <c r="C97" s="151"/>
      <c r="D97" s="151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1:14" ht="15.75">
      <c r="A98" s="150"/>
      <c r="B98" s="151"/>
      <c r="C98" s="151"/>
      <c r="D98" s="151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1:14" ht="15.75">
      <c r="A99" s="150"/>
      <c r="B99" s="151"/>
      <c r="C99" s="151"/>
      <c r="D99" s="151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1:14" ht="15.75">
      <c r="A100" s="150"/>
      <c r="B100" s="151"/>
      <c r="C100" s="151"/>
      <c r="D100" s="151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1:14" ht="15.75">
      <c r="A101" s="150"/>
      <c r="B101" s="151"/>
      <c r="C101" s="151"/>
      <c r="D101" s="151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 ht="15.75">
      <c r="A102" s="150"/>
      <c r="B102" s="151"/>
      <c r="C102" s="151"/>
      <c r="D102" s="151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 ht="15.75">
      <c r="A103" s="150"/>
      <c r="B103" s="151"/>
      <c r="C103" s="151"/>
      <c r="D103" s="151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1:14" ht="15.75">
      <c r="A104" s="150"/>
      <c r="B104" s="151"/>
      <c r="C104" s="151"/>
      <c r="D104" s="151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</row>
    <row r="105" spans="1:14" ht="15.75">
      <c r="A105" s="150"/>
      <c r="B105" s="151"/>
      <c r="C105" s="151"/>
      <c r="D105" s="151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</row>
    <row r="106" spans="1:14" ht="15.75">
      <c r="A106" s="150"/>
      <c r="B106" s="151"/>
      <c r="C106" s="151"/>
      <c r="D106" s="151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</row>
    <row r="107" spans="1:14" ht="15.75">
      <c r="A107" s="161"/>
      <c r="B107" s="162"/>
      <c r="C107" s="162"/>
      <c r="D107" s="162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</row>
    <row r="108" spans="1:14" ht="18.75">
      <c r="A108" s="163"/>
      <c r="B108" s="163"/>
      <c r="C108" s="163"/>
      <c r="D108" s="163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</row>
    <row r="109" spans="1:14" ht="15.75">
      <c r="A109" s="161"/>
      <c r="B109" s="161"/>
      <c r="C109" s="161"/>
      <c r="D109" s="161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</row>
  </sheetData>
  <sheetProtection/>
  <mergeCells count="18">
    <mergeCell ref="A62:L62"/>
    <mergeCell ref="W5:W7"/>
    <mergeCell ref="O5:V5"/>
    <mergeCell ref="X4:Y4"/>
    <mergeCell ref="Y5:Y7"/>
    <mergeCell ref="A3:A7"/>
    <mergeCell ref="C3:C7"/>
    <mergeCell ref="M3:M7"/>
    <mergeCell ref="N3:N7"/>
    <mergeCell ref="O3:W4"/>
    <mergeCell ref="P1:Q1"/>
    <mergeCell ref="A1:L1"/>
    <mergeCell ref="E4:L4"/>
    <mergeCell ref="X5:X7"/>
    <mergeCell ref="B6:B7"/>
    <mergeCell ref="B3:B5"/>
    <mergeCell ref="E3:L3"/>
    <mergeCell ref="D3:D7"/>
  </mergeCells>
  <printOptions horizontalCentered="1"/>
  <pageMargins left="0" right="0" top="0" bottom="0" header="0" footer="0"/>
  <pageSetup horizontalDpi="600" verticalDpi="600" orientation="landscape" paperSize="9" scale="41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9"/>
  <sheetViews>
    <sheetView view="pageBreakPreview" zoomScale="71" zoomScaleNormal="74" zoomScaleSheetLayoutView="71" zoomScalePageLayoutView="0" workbookViewId="0" topLeftCell="A1">
      <pane xSplit="2" ySplit="7" topLeftCell="O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9" sqref="P29"/>
    </sheetView>
  </sheetViews>
  <sheetFormatPr defaultColWidth="9.140625" defaultRowHeight="12.75"/>
  <cols>
    <col min="1" max="1" width="9.00390625" style="165" customWidth="1"/>
    <col min="2" max="2" width="24.00390625" style="165" customWidth="1"/>
    <col min="3" max="3" width="11.140625" style="165" customWidth="1"/>
    <col min="4" max="4" width="15.7109375" style="165" customWidth="1"/>
    <col min="5" max="5" width="18.421875" style="166" customWidth="1"/>
    <col min="6" max="6" width="17.28125" style="166" customWidth="1"/>
    <col min="7" max="7" width="15.421875" style="166" customWidth="1"/>
    <col min="8" max="8" width="17.00390625" style="166" customWidth="1"/>
    <col min="9" max="9" width="16.28125" style="166" customWidth="1"/>
    <col min="10" max="10" width="15.00390625" style="166" customWidth="1"/>
    <col min="11" max="11" width="16.7109375" style="166" customWidth="1"/>
    <col min="12" max="12" width="15.7109375" style="166" customWidth="1"/>
    <col min="13" max="13" width="15.421875" style="166" customWidth="1"/>
    <col min="14" max="15" width="29.7109375" style="166" customWidth="1"/>
    <col min="16" max="16" width="15.140625" style="159" customWidth="1"/>
    <col min="17" max="17" width="15.8515625" style="159" customWidth="1"/>
    <col min="18" max="18" width="14.28125" style="159" customWidth="1"/>
    <col min="19" max="19" width="13.57421875" style="159" customWidth="1"/>
    <col min="20" max="20" width="12.140625" style="159" customWidth="1"/>
    <col min="21" max="21" width="15.7109375" style="159" customWidth="1"/>
    <col min="22" max="22" width="15.140625" style="159" customWidth="1"/>
    <col min="23" max="23" width="13.57421875" style="159" customWidth="1"/>
    <col min="24" max="24" width="13.7109375" style="159" customWidth="1"/>
    <col min="25" max="25" width="20.140625" style="159" customWidth="1"/>
    <col min="26" max="26" width="15.57421875" style="160" customWidth="1"/>
    <col min="27" max="27" width="18.8515625" style="160" customWidth="1"/>
    <col min="28" max="16384" width="9.140625" style="159" customWidth="1"/>
  </cols>
  <sheetData>
    <row r="1" spans="1:27" s="104" customFormat="1" ht="18.7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103"/>
      <c r="O1" s="103"/>
      <c r="R1" s="270" t="s">
        <v>97</v>
      </c>
      <c r="S1" s="270"/>
      <c r="Z1" s="105"/>
      <c r="AA1" s="105"/>
    </row>
    <row r="2" spans="1:27" s="104" customFormat="1" ht="15.75">
      <c r="A2" s="106"/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Z2" s="105"/>
      <c r="AA2" s="105"/>
    </row>
    <row r="3" spans="1:27" s="111" customFormat="1" ht="25.5" customHeight="1">
      <c r="A3" s="287" t="s">
        <v>79</v>
      </c>
      <c r="B3" s="277" t="s">
        <v>75</v>
      </c>
      <c r="C3" s="277" t="s">
        <v>76</v>
      </c>
      <c r="D3" s="280" t="s">
        <v>86</v>
      </c>
      <c r="E3" s="279" t="s">
        <v>77</v>
      </c>
      <c r="F3" s="279"/>
      <c r="G3" s="279"/>
      <c r="H3" s="279"/>
      <c r="I3" s="279"/>
      <c r="J3" s="279"/>
      <c r="K3" s="279"/>
      <c r="L3" s="279"/>
      <c r="M3" s="279"/>
      <c r="N3" s="290" t="s">
        <v>83</v>
      </c>
      <c r="O3" s="290" t="s">
        <v>84</v>
      </c>
      <c r="P3" s="290" t="s">
        <v>87</v>
      </c>
      <c r="Q3" s="290"/>
      <c r="R3" s="290"/>
      <c r="S3" s="290"/>
      <c r="T3" s="290"/>
      <c r="U3" s="290"/>
      <c r="V3" s="290"/>
      <c r="W3" s="290"/>
      <c r="X3" s="290"/>
      <c r="Y3" s="290"/>
      <c r="Z3" s="110"/>
      <c r="AA3" s="110"/>
    </row>
    <row r="4" spans="1:27" s="111" customFormat="1" ht="36" customHeight="1">
      <c r="A4" s="288"/>
      <c r="B4" s="278"/>
      <c r="C4" s="278"/>
      <c r="D4" s="281"/>
      <c r="E4" s="272" t="s">
        <v>41</v>
      </c>
      <c r="F4" s="273"/>
      <c r="G4" s="273"/>
      <c r="H4" s="273"/>
      <c r="I4" s="273"/>
      <c r="J4" s="273"/>
      <c r="K4" s="273"/>
      <c r="L4" s="273"/>
      <c r="M4" s="274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75"/>
      <c r="AA4" s="275"/>
    </row>
    <row r="5" spans="1:27" s="111" customFormat="1" ht="75" customHeight="1">
      <c r="A5" s="288"/>
      <c r="B5" s="278"/>
      <c r="C5" s="278"/>
      <c r="D5" s="281"/>
      <c r="E5" s="113" t="s">
        <v>55</v>
      </c>
      <c r="F5" s="113" t="s">
        <v>55</v>
      </c>
      <c r="G5" s="113" t="s">
        <v>55</v>
      </c>
      <c r="H5" s="113" t="s">
        <v>43</v>
      </c>
      <c r="I5" s="113" t="s">
        <v>43</v>
      </c>
      <c r="J5" s="113" t="s">
        <v>55</v>
      </c>
      <c r="K5" s="113" t="s">
        <v>55</v>
      </c>
      <c r="L5" s="113" t="s">
        <v>43</v>
      </c>
      <c r="M5" s="113" t="s">
        <v>43</v>
      </c>
      <c r="N5" s="290"/>
      <c r="O5" s="290"/>
      <c r="P5" s="279" t="s">
        <v>41</v>
      </c>
      <c r="Q5" s="279"/>
      <c r="R5" s="279"/>
      <c r="S5" s="279"/>
      <c r="T5" s="279"/>
      <c r="U5" s="279"/>
      <c r="V5" s="279"/>
      <c r="W5" s="279"/>
      <c r="X5" s="279"/>
      <c r="Y5" s="276" t="s">
        <v>63</v>
      </c>
      <c r="Z5" s="275"/>
      <c r="AA5" s="275"/>
    </row>
    <row r="6" spans="1:27" s="111" customFormat="1" ht="83.25" customHeight="1">
      <c r="A6" s="288"/>
      <c r="B6" s="276" t="s">
        <v>74</v>
      </c>
      <c r="C6" s="278"/>
      <c r="D6" s="281"/>
      <c r="E6" s="113" t="s">
        <v>45</v>
      </c>
      <c r="F6" s="113" t="s">
        <v>44</v>
      </c>
      <c r="G6" s="113" t="s">
        <v>46</v>
      </c>
      <c r="H6" s="113" t="s">
        <v>44</v>
      </c>
      <c r="I6" s="113" t="s">
        <v>46</v>
      </c>
      <c r="J6" s="113" t="s">
        <v>60</v>
      </c>
      <c r="K6" s="113" t="s">
        <v>58</v>
      </c>
      <c r="L6" s="113" t="s">
        <v>60</v>
      </c>
      <c r="M6" s="113" t="s">
        <v>58</v>
      </c>
      <c r="N6" s="290"/>
      <c r="O6" s="290"/>
      <c r="P6" s="109" t="s">
        <v>55</v>
      </c>
      <c r="Q6" s="109" t="s">
        <v>55</v>
      </c>
      <c r="R6" s="109" t="s">
        <v>55</v>
      </c>
      <c r="S6" s="109" t="s">
        <v>43</v>
      </c>
      <c r="T6" s="109" t="s">
        <v>43</v>
      </c>
      <c r="U6" s="109" t="s">
        <v>55</v>
      </c>
      <c r="V6" s="109" t="s">
        <v>55</v>
      </c>
      <c r="W6" s="109" t="s">
        <v>43</v>
      </c>
      <c r="X6" s="109" t="s">
        <v>43</v>
      </c>
      <c r="Y6" s="276"/>
      <c r="Z6" s="275"/>
      <c r="AA6" s="275"/>
    </row>
    <row r="7" spans="1:27" s="111" customFormat="1" ht="94.5" customHeight="1">
      <c r="A7" s="289"/>
      <c r="B7" s="276"/>
      <c r="C7" s="284"/>
      <c r="D7" s="282"/>
      <c r="E7" s="113" t="s">
        <v>73</v>
      </c>
      <c r="F7" s="113" t="s">
        <v>73</v>
      </c>
      <c r="G7" s="113" t="s">
        <v>73</v>
      </c>
      <c r="H7" s="113" t="s">
        <v>73</v>
      </c>
      <c r="I7" s="113" t="s">
        <v>73</v>
      </c>
      <c r="J7" s="113" t="s">
        <v>73</v>
      </c>
      <c r="K7" s="113" t="s">
        <v>73</v>
      </c>
      <c r="L7" s="113" t="s">
        <v>73</v>
      </c>
      <c r="M7" s="113" t="s">
        <v>73</v>
      </c>
      <c r="N7" s="290"/>
      <c r="O7" s="290"/>
      <c r="P7" s="109" t="s">
        <v>45</v>
      </c>
      <c r="Q7" s="109" t="s">
        <v>44</v>
      </c>
      <c r="R7" s="109" t="s">
        <v>46</v>
      </c>
      <c r="S7" s="109" t="s">
        <v>44</v>
      </c>
      <c r="T7" s="109" t="s">
        <v>46</v>
      </c>
      <c r="U7" s="109" t="s">
        <v>60</v>
      </c>
      <c r="V7" s="109" t="s">
        <v>58</v>
      </c>
      <c r="W7" s="109" t="s">
        <v>60</v>
      </c>
      <c r="X7" s="109" t="s">
        <v>58</v>
      </c>
      <c r="Y7" s="276"/>
      <c r="Z7" s="275"/>
      <c r="AA7" s="275"/>
    </row>
    <row r="8" spans="1:27" s="126" customFormat="1" ht="15.75">
      <c r="A8" s="117">
        <v>1</v>
      </c>
      <c r="B8" s="118" t="s">
        <v>0</v>
      </c>
      <c r="C8" s="119">
        <v>5</v>
      </c>
      <c r="D8" s="120">
        <v>6153</v>
      </c>
      <c r="E8" s="121">
        <v>185</v>
      </c>
      <c r="F8" s="168"/>
      <c r="G8" s="168"/>
      <c r="H8" s="168"/>
      <c r="I8" s="168">
        <v>6</v>
      </c>
      <c r="J8" s="168">
        <v>3</v>
      </c>
      <c r="K8" s="168"/>
      <c r="L8" s="168"/>
      <c r="M8" s="168">
        <v>1</v>
      </c>
      <c r="N8" s="122">
        <v>3539</v>
      </c>
      <c r="O8" s="123">
        <f>ROUND(D8/N8,3)</f>
        <v>1.739</v>
      </c>
      <c r="P8" s="124">
        <f>ROUND(E8*N8*O8/1000,1)</f>
        <v>1138.5</v>
      </c>
      <c r="Q8" s="124">
        <f>ROUND(F8*N8*O8/1000,1)</f>
        <v>0</v>
      </c>
      <c r="R8" s="124">
        <f>ROUND(G8/1000*O8*N8,1)</f>
        <v>0</v>
      </c>
      <c r="S8" s="124">
        <f>ROUND(H8*N8*O8/1000,1)</f>
        <v>0</v>
      </c>
      <c r="T8" s="124">
        <f>ROUND(I8*N8*O8/1000,1)</f>
        <v>36.9</v>
      </c>
      <c r="U8" s="124">
        <f>ROUND(J8*N8*O8/1000,1)</f>
        <v>18.5</v>
      </c>
      <c r="V8" s="124">
        <f>ROUND(K8*N8*O8/1000,1)</f>
        <v>0</v>
      </c>
      <c r="W8" s="124">
        <f>ROUND(L8*N8*O8/1000,1)</f>
        <v>0</v>
      </c>
      <c r="X8" s="124">
        <f>ROUND(M8*N8*O8/1000,1)</f>
        <v>6.2</v>
      </c>
      <c r="Y8" s="124">
        <f>SUM(P8:X8)</f>
        <v>1200.1000000000001</v>
      </c>
      <c r="Z8" s="125"/>
      <c r="AA8" s="125"/>
    </row>
    <row r="9" spans="1:27" s="126" customFormat="1" ht="15.75">
      <c r="A9" s="127">
        <v>2</v>
      </c>
      <c r="B9" s="118" t="s">
        <v>62</v>
      </c>
      <c r="C9" s="119">
        <v>6</v>
      </c>
      <c r="D9" s="120">
        <v>5112</v>
      </c>
      <c r="E9" s="128">
        <v>383</v>
      </c>
      <c r="F9" s="169">
        <v>3</v>
      </c>
      <c r="G9" s="169"/>
      <c r="H9" s="169"/>
      <c r="I9" s="169">
        <v>2</v>
      </c>
      <c r="J9" s="169">
        <v>2</v>
      </c>
      <c r="K9" s="168"/>
      <c r="L9" s="168">
        <v>2</v>
      </c>
      <c r="M9" s="169"/>
      <c r="N9" s="122">
        <v>3539</v>
      </c>
      <c r="O9" s="123">
        <f aca="true" t="shared" si="0" ref="O9:O46">ROUND(D9/N9,3)</f>
        <v>1.444</v>
      </c>
      <c r="P9" s="124">
        <f aca="true" t="shared" si="1" ref="P9:P46">ROUND(E9*N9*O9/1000,1)</f>
        <v>1957.3</v>
      </c>
      <c r="Q9" s="124">
        <f aca="true" t="shared" si="2" ref="Q9:Q46">ROUND(F9*N9*O9/1000,1)</f>
        <v>15.3</v>
      </c>
      <c r="R9" s="124">
        <f aca="true" t="shared" si="3" ref="R9:R46">ROUND(G9/1000*O9*N9,1)</f>
        <v>0</v>
      </c>
      <c r="S9" s="124">
        <f aca="true" t="shared" si="4" ref="S9:S46">ROUND(H9*N9*O9/1000,1)</f>
        <v>0</v>
      </c>
      <c r="T9" s="124">
        <f aca="true" t="shared" si="5" ref="T9:T46">ROUND(I9*N9*O9/1000,1)</f>
        <v>10.2</v>
      </c>
      <c r="U9" s="124">
        <f aca="true" t="shared" si="6" ref="U9:U46">ROUND(J9*N9*O9/1000,1)</f>
        <v>10.2</v>
      </c>
      <c r="V9" s="124">
        <f aca="true" t="shared" si="7" ref="V9:V46">ROUND(K9*N9*O9/1000,1)</f>
        <v>0</v>
      </c>
      <c r="W9" s="124">
        <f aca="true" t="shared" si="8" ref="W9:W46">ROUND(L9*N9*O9/1000,1)</f>
        <v>10.2</v>
      </c>
      <c r="X9" s="124">
        <f aca="true" t="shared" si="9" ref="X9:X46">ROUND(M9*N9*O9/1000,1)</f>
        <v>0</v>
      </c>
      <c r="Y9" s="124">
        <f aca="true" t="shared" si="10" ref="Y9:Y46">SUM(P9:X9)</f>
        <v>2003.2</v>
      </c>
      <c r="Z9" s="125"/>
      <c r="AA9" s="125"/>
    </row>
    <row r="10" spans="1:27" s="126" customFormat="1" ht="15.75">
      <c r="A10" s="117">
        <v>3</v>
      </c>
      <c r="B10" s="118" t="s">
        <v>1</v>
      </c>
      <c r="C10" s="119">
        <v>6</v>
      </c>
      <c r="D10" s="120">
        <v>3551</v>
      </c>
      <c r="E10" s="128">
        <v>318</v>
      </c>
      <c r="F10" s="169"/>
      <c r="G10" s="169">
        <v>5</v>
      </c>
      <c r="H10" s="169"/>
      <c r="I10" s="169"/>
      <c r="J10" s="169"/>
      <c r="K10" s="168">
        <v>4</v>
      </c>
      <c r="L10" s="169"/>
      <c r="M10" s="169">
        <v>2</v>
      </c>
      <c r="N10" s="122">
        <v>3539</v>
      </c>
      <c r="O10" s="123">
        <f t="shared" si="0"/>
        <v>1.003</v>
      </c>
      <c r="P10" s="124">
        <f t="shared" si="1"/>
        <v>1128.8</v>
      </c>
      <c r="Q10" s="124">
        <f t="shared" si="2"/>
        <v>0</v>
      </c>
      <c r="R10" s="124">
        <f t="shared" si="3"/>
        <v>17.7</v>
      </c>
      <c r="S10" s="124">
        <f t="shared" si="4"/>
        <v>0</v>
      </c>
      <c r="T10" s="124">
        <f t="shared" si="5"/>
        <v>0</v>
      </c>
      <c r="U10" s="124">
        <f t="shared" si="6"/>
        <v>0</v>
      </c>
      <c r="V10" s="124">
        <f t="shared" si="7"/>
        <v>14.2</v>
      </c>
      <c r="W10" s="124">
        <f t="shared" si="8"/>
        <v>0</v>
      </c>
      <c r="X10" s="124">
        <f t="shared" si="9"/>
        <v>7.1</v>
      </c>
      <c r="Y10" s="124">
        <f t="shared" si="10"/>
        <v>1167.8</v>
      </c>
      <c r="Z10" s="125"/>
      <c r="AA10" s="125"/>
    </row>
    <row r="11" spans="1:27" s="126" customFormat="1" ht="15.75">
      <c r="A11" s="127">
        <v>4</v>
      </c>
      <c r="B11" s="118" t="s">
        <v>2</v>
      </c>
      <c r="C11" s="119">
        <v>5</v>
      </c>
      <c r="D11" s="120">
        <v>7114</v>
      </c>
      <c r="E11" s="129">
        <v>213</v>
      </c>
      <c r="F11" s="170">
        <v>2</v>
      </c>
      <c r="G11" s="170"/>
      <c r="H11" s="170"/>
      <c r="I11" s="170"/>
      <c r="J11" s="170">
        <v>2</v>
      </c>
      <c r="K11" s="171"/>
      <c r="L11" s="170"/>
      <c r="M11" s="170">
        <v>4</v>
      </c>
      <c r="N11" s="122">
        <v>3539</v>
      </c>
      <c r="O11" s="123">
        <f t="shared" si="0"/>
        <v>2.01</v>
      </c>
      <c r="P11" s="124">
        <f t="shared" si="1"/>
        <v>1515.2</v>
      </c>
      <c r="Q11" s="124">
        <f t="shared" si="2"/>
        <v>14.2</v>
      </c>
      <c r="R11" s="124">
        <f t="shared" si="3"/>
        <v>0</v>
      </c>
      <c r="S11" s="124">
        <f t="shared" si="4"/>
        <v>0</v>
      </c>
      <c r="T11" s="124">
        <f t="shared" si="5"/>
        <v>0</v>
      </c>
      <c r="U11" s="124">
        <f t="shared" si="6"/>
        <v>14.2</v>
      </c>
      <c r="V11" s="124">
        <f t="shared" si="7"/>
        <v>0</v>
      </c>
      <c r="W11" s="124">
        <f t="shared" si="8"/>
        <v>0</v>
      </c>
      <c r="X11" s="124">
        <f t="shared" si="9"/>
        <v>28.5</v>
      </c>
      <c r="Y11" s="124">
        <f t="shared" si="10"/>
        <v>1572.1000000000001</v>
      </c>
      <c r="Z11" s="125"/>
      <c r="AA11" s="125"/>
    </row>
    <row r="12" spans="1:27" s="126" customFormat="1" ht="15.75">
      <c r="A12" s="117">
        <v>5</v>
      </c>
      <c r="B12" s="118" t="s">
        <v>61</v>
      </c>
      <c r="C12" s="119">
        <v>5</v>
      </c>
      <c r="D12" s="120">
        <v>7981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22">
        <v>3539</v>
      </c>
      <c r="O12" s="123">
        <f t="shared" si="0"/>
        <v>2.255</v>
      </c>
      <c r="P12" s="124">
        <f t="shared" si="1"/>
        <v>0</v>
      </c>
      <c r="Q12" s="124">
        <f t="shared" si="2"/>
        <v>0</v>
      </c>
      <c r="R12" s="124">
        <f t="shared" si="3"/>
        <v>0</v>
      </c>
      <c r="S12" s="124">
        <f t="shared" si="4"/>
        <v>0</v>
      </c>
      <c r="T12" s="124">
        <f t="shared" si="5"/>
        <v>0</v>
      </c>
      <c r="U12" s="124">
        <f t="shared" si="6"/>
        <v>0</v>
      </c>
      <c r="V12" s="124">
        <f t="shared" si="7"/>
        <v>0</v>
      </c>
      <c r="W12" s="124">
        <f t="shared" si="8"/>
        <v>0</v>
      </c>
      <c r="X12" s="124">
        <f t="shared" si="9"/>
        <v>0</v>
      </c>
      <c r="Y12" s="124">
        <f t="shared" si="10"/>
        <v>0</v>
      </c>
      <c r="Z12" s="125"/>
      <c r="AA12" s="125"/>
    </row>
    <row r="13" spans="1:27" s="126" customFormat="1" ht="15.75">
      <c r="A13" s="127">
        <v>6</v>
      </c>
      <c r="B13" s="118" t="s">
        <v>3</v>
      </c>
      <c r="C13" s="119">
        <v>5</v>
      </c>
      <c r="D13" s="120">
        <v>4488</v>
      </c>
      <c r="E13" s="128">
        <v>282</v>
      </c>
      <c r="F13" s="169">
        <v>1</v>
      </c>
      <c r="G13" s="169"/>
      <c r="H13" s="169">
        <v>1</v>
      </c>
      <c r="I13" s="169">
        <v>6</v>
      </c>
      <c r="J13" s="169"/>
      <c r="K13" s="169"/>
      <c r="L13" s="169">
        <v>2</v>
      </c>
      <c r="M13" s="169"/>
      <c r="N13" s="122">
        <v>3539</v>
      </c>
      <c r="O13" s="123">
        <f t="shared" si="0"/>
        <v>1.268</v>
      </c>
      <c r="P13" s="124">
        <f t="shared" si="1"/>
        <v>1265.5</v>
      </c>
      <c r="Q13" s="124">
        <f t="shared" si="2"/>
        <v>4.5</v>
      </c>
      <c r="R13" s="124">
        <f t="shared" si="3"/>
        <v>0</v>
      </c>
      <c r="S13" s="124">
        <f t="shared" si="4"/>
        <v>4.5</v>
      </c>
      <c r="T13" s="124">
        <f t="shared" si="5"/>
        <v>26.9</v>
      </c>
      <c r="U13" s="124">
        <f t="shared" si="6"/>
        <v>0</v>
      </c>
      <c r="V13" s="124">
        <f t="shared" si="7"/>
        <v>0</v>
      </c>
      <c r="W13" s="124">
        <f t="shared" si="8"/>
        <v>9</v>
      </c>
      <c r="X13" s="124">
        <f t="shared" si="9"/>
        <v>0</v>
      </c>
      <c r="Y13" s="124">
        <f t="shared" si="10"/>
        <v>1310.4</v>
      </c>
      <c r="Z13" s="125"/>
      <c r="AA13" s="125"/>
    </row>
    <row r="14" spans="1:27" s="126" customFormat="1" ht="15.75" customHeight="1">
      <c r="A14" s="117">
        <v>7</v>
      </c>
      <c r="B14" s="118" t="s">
        <v>4</v>
      </c>
      <c r="C14" s="119">
        <v>5</v>
      </c>
      <c r="D14" s="120">
        <v>3779</v>
      </c>
      <c r="E14" s="128">
        <v>382</v>
      </c>
      <c r="F14" s="169">
        <v>6</v>
      </c>
      <c r="G14" s="169"/>
      <c r="H14" s="169"/>
      <c r="I14" s="169">
        <v>3</v>
      </c>
      <c r="J14" s="169">
        <v>1</v>
      </c>
      <c r="K14" s="169">
        <v>2</v>
      </c>
      <c r="L14" s="169">
        <v>1</v>
      </c>
      <c r="M14" s="169"/>
      <c r="N14" s="122">
        <v>3539</v>
      </c>
      <c r="O14" s="123">
        <f t="shared" si="0"/>
        <v>1.068</v>
      </c>
      <c r="P14" s="124">
        <f t="shared" si="1"/>
        <v>1443.8</v>
      </c>
      <c r="Q14" s="124">
        <f t="shared" si="2"/>
        <v>22.7</v>
      </c>
      <c r="R14" s="124">
        <f t="shared" si="3"/>
        <v>0</v>
      </c>
      <c r="S14" s="124">
        <f t="shared" si="4"/>
        <v>0</v>
      </c>
      <c r="T14" s="124">
        <f t="shared" si="5"/>
        <v>11.3</v>
      </c>
      <c r="U14" s="124">
        <f t="shared" si="6"/>
        <v>3.8</v>
      </c>
      <c r="V14" s="124">
        <f t="shared" si="7"/>
        <v>7.6</v>
      </c>
      <c r="W14" s="124">
        <f t="shared" si="8"/>
        <v>3.8</v>
      </c>
      <c r="X14" s="124">
        <f t="shared" si="9"/>
        <v>0</v>
      </c>
      <c r="Y14" s="124">
        <f t="shared" si="10"/>
        <v>1492.9999999999998</v>
      </c>
      <c r="Z14" s="125"/>
      <c r="AA14" s="125"/>
    </row>
    <row r="15" spans="1:27" s="126" customFormat="1" ht="15.75">
      <c r="A15" s="127">
        <v>8</v>
      </c>
      <c r="B15" s="131" t="s">
        <v>5</v>
      </c>
      <c r="C15" s="119">
        <v>5</v>
      </c>
      <c r="D15" s="120">
        <v>4686</v>
      </c>
      <c r="E15" s="128">
        <v>391</v>
      </c>
      <c r="F15" s="169">
        <v>3</v>
      </c>
      <c r="G15" s="169"/>
      <c r="H15" s="169"/>
      <c r="I15" s="169">
        <v>5</v>
      </c>
      <c r="J15" s="169"/>
      <c r="K15" s="169"/>
      <c r="L15" s="169">
        <v>1</v>
      </c>
      <c r="M15" s="169">
        <v>4</v>
      </c>
      <c r="N15" s="122">
        <v>3539</v>
      </c>
      <c r="O15" s="123">
        <f t="shared" si="0"/>
        <v>1.324</v>
      </c>
      <c r="P15" s="124">
        <f t="shared" si="1"/>
        <v>1832.1</v>
      </c>
      <c r="Q15" s="124">
        <f t="shared" si="2"/>
        <v>14.1</v>
      </c>
      <c r="R15" s="124">
        <f t="shared" si="3"/>
        <v>0</v>
      </c>
      <c r="S15" s="124">
        <f t="shared" si="4"/>
        <v>0</v>
      </c>
      <c r="T15" s="124">
        <f t="shared" si="5"/>
        <v>23.4</v>
      </c>
      <c r="U15" s="124">
        <f t="shared" si="6"/>
        <v>0</v>
      </c>
      <c r="V15" s="124">
        <f t="shared" si="7"/>
        <v>0</v>
      </c>
      <c r="W15" s="124">
        <f t="shared" si="8"/>
        <v>4.7</v>
      </c>
      <c r="X15" s="124">
        <f t="shared" si="9"/>
        <v>18.7</v>
      </c>
      <c r="Y15" s="124">
        <f t="shared" si="10"/>
        <v>1893</v>
      </c>
      <c r="Z15" s="125"/>
      <c r="AA15" s="125"/>
    </row>
    <row r="16" spans="1:27" s="126" customFormat="1" ht="15.75">
      <c r="A16" s="117">
        <v>9</v>
      </c>
      <c r="B16" s="118" t="s">
        <v>6</v>
      </c>
      <c r="C16" s="119">
        <v>5</v>
      </c>
      <c r="D16" s="120">
        <v>30811</v>
      </c>
      <c r="E16" s="128">
        <v>19</v>
      </c>
      <c r="F16" s="169"/>
      <c r="G16" s="169"/>
      <c r="H16" s="169"/>
      <c r="I16" s="169"/>
      <c r="J16" s="169"/>
      <c r="K16" s="169"/>
      <c r="L16" s="169"/>
      <c r="M16" s="169"/>
      <c r="N16" s="122">
        <v>3539</v>
      </c>
      <c r="O16" s="123">
        <f t="shared" si="0"/>
        <v>8.706</v>
      </c>
      <c r="P16" s="124">
        <f>ROUND(E16*N16*O16/1000,1)+3.4</f>
        <v>588.8</v>
      </c>
      <c r="Q16" s="124">
        <f t="shared" si="2"/>
        <v>0</v>
      </c>
      <c r="R16" s="124">
        <f t="shared" si="3"/>
        <v>0</v>
      </c>
      <c r="S16" s="124">
        <f t="shared" si="4"/>
        <v>0</v>
      </c>
      <c r="T16" s="124">
        <f t="shared" si="5"/>
        <v>0</v>
      </c>
      <c r="U16" s="124">
        <f t="shared" si="6"/>
        <v>0</v>
      </c>
      <c r="V16" s="124">
        <f t="shared" si="7"/>
        <v>0</v>
      </c>
      <c r="W16" s="124">
        <f t="shared" si="8"/>
        <v>0</v>
      </c>
      <c r="X16" s="124">
        <f t="shared" si="9"/>
        <v>0</v>
      </c>
      <c r="Y16" s="124">
        <f>SUM(P16:X16)-0.1</f>
        <v>588.6999999999999</v>
      </c>
      <c r="Z16" s="125"/>
      <c r="AA16" s="125"/>
    </row>
    <row r="17" spans="1:27" s="126" customFormat="1" ht="15.75">
      <c r="A17" s="127">
        <v>10</v>
      </c>
      <c r="B17" s="133" t="s">
        <v>7</v>
      </c>
      <c r="C17" s="119">
        <v>5</v>
      </c>
      <c r="D17" s="120">
        <v>17704</v>
      </c>
      <c r="E17" s="128">
        <v>94</v>
      </c>
      <c r="F17" s="169">
        <v>1</v>
      </c>
      <c r="G17" s="169"/>
      <c r="H17" s="169"/>
      <c r="I17" s="169"/>
      <c r="J17" s="169"/>
      <c r="K17" s="169"/>
      <c r="L17" s="169">
        <v>1</v>
      </c>
      <c r="M17" s="169">
        <v>1</v>
      </c>
      <c r="N17" s="122">
        <v>3539</v>
      </c>
      <c r="O17" s="123">
        <f t="shared" si="0"/>
        <v>5.003</v>
      </c>
      <c r="P17" s="124">
        <f t="shared" si="1"/>
        <v>1664.3</v>
      </c>
      <c r="Q17" s="124">
        <f t="shared" si="2"/>
        <v>17.7</v>
      </c>
      <c r="R17" s="124">
        <f t="shared" si="3"/>
        <v>0</v>
      </c>
      <c r="S17" s="124">
        <f t="shared" si="4"/>
        <v>0</v>
      </c>
      <c r="T17" s="124">
        <f t="shared" si="5"/>
        <v>0</v>
      </c>
      <c r="U17" s="124">
        <f t="shared" si="6"/>
        <v>0</v>
      </c>
      <c r="V17" s="124">
        <f t="shared" si="7"/>
        <v>0</v>
      </c>
      <c r="W17" s="124">
        <f t="shared" si="8"/>
        <v>17.7</v>
      </c>
      <c r="X17" s="124">
        <f t="shared" si="9"/>
        <v>17.7</v>
      </c>
      <c r="Y17" s="124">
        <f t="shared" si="10"/>
        <v>1717.4</v>
      </c>
      <c r="Z17" s="125"/>
      <c r="AA17" s="125"/>
    </row>
    <row r="18" spans="1:27" s="126" customFormat="1" ht="15.75">
      <c r="A18" s="117">
        <v>11</v>
      </c>
      <c r="B18" s="133" t="s">
        <v>8</v>
      </c>
      <c r="C18" s="119">
        <v>5</v>
      </c>
      <c r="D18" s="120">
        <v>12715</v>
      </c>
      <c r="E18" s="128">
        <v>94</v>
      </c>
      <c r="F18" s="169"/>
      <c r="G18" s="169">
        <v>1</v>
      </c>
      <c r="H18" s="169"/>
      <c r="I18" s="169"/>
      <c r="J18" s="169"/>
      <c r="K18" s="169"/>
      <c r="L18" s="169"/>
      <c r="M18" s="169"/>
      <c r="N18" s="122">
        <v>3539</v>
      </c>
      <c r="O18" s="123">
        <f t="shared" si="0"/>
        <v>3.593</v>
      </c>
      <c r="P18" s="124">
        <f t="shared" si="1"/>
        <v>1195.3</v>
      </c>
      <c r="Q18" s="124">
        <f t="shared" si="2"/>
        <v>0</v>
      </c>
      <c r="R18" s="124">
        <f t="shared" si="3"/>
        <v>12.7</v>
      </c>
      <c r="S18" s="124">
        <f t="shared" si="4"/>
        <v>0</v>
      </c>
      <c r="T18" s="124">
        <f t="shared" si="5"/>
        <v>0</v>
      </c>
      <c r="U18" s="124">
        <f t="shared" si="6"/>
        <v>0</v>
      </c>
      <c r="V18" s="124">
        <f t="shared" si="7"/>
        <v>0</v>
      </c>
      <c r="W18" s="124">
        <f t="shared" si="8"/>
        <v>0</v>
      </c>
      <c r="X18" s="124">
        <f t="shared" si="9"/>
        <v>0</v>
      </c>
      <c r="Y18" s="124">
        <f t="shared" si="10"/>
        <v>1208</v>
      </c>
      <c r="Z18" s="125"/>
      <c r="AA18" s="125"/>
    </row>
    <row r="19" spans="1:27" s="126" customFormat="1" ht="15.75">
      <c r="A19" s="127">
        <v>12</v>
      </c>
      <c r="B19" s="133" t="s">
        <v>9</v>
      </c>
      <c r="C19" s="119">
        <v>5</v>
      </c>
      <c r="D19" s="120">
        <v>13621</v>
      </c>
      <c r="E19" s="128">
        <v>109</v>
      </c>
      <c r="F19" s="169"/>
      <c r="G19" s="169">
        <v>1</v>
      </c>
      <c r="H19" s="169"/>
      <c r="I19" s="169"/>
      <c r="J19" s="169"/>
      <c r="K19" s="169"/>
      <c r="L19" s="169">
        <v>4</v>
      </c>
      <c r="M19" s="169"/>
      <c r="N19" s="122">
        <v>3539</v>
      </c>
      <c r="O19" s="123">
        <f t="shared" si="0"/>
        <v>3.849</v>
      </c>
      <c r="P19" s="124">
        <f t="shared" si="1"/>
        <v>1484.8</v>
      </c>
      <c r="Q19" s="124">
        <f t="shared" si="2"/>
        <v>0</v>
      </c>
      <c r="R19" s="124">
        <f t="shared" si="3"/>
        <v>13.6</v>
      </c>
      <c r="S19" s="124">
        <f t="shared" si="4"/>
        <v>0</v>
      </c>
      <c r="T19" s="124">
        <f t="shared" si="5"/>
        <v>0</v>
      </c>
      <c r="U19" s="124">
        <f t="shared" si="6"/>
        <v>0</v>
      </c>
      <c r="V19" s="124">
        <f t="shared" si="7"/>
        <v>0</v>
      </c>
      <c r="W19" s="124">
        <f t="shared" si="8"/>
        <v>54.5</v>
      </c>
      <c r="X19" s="124">
        <f t="shared" si="9"/>
        <v>0</v>
      </c>
      <c r="Y19" s="124">
        <f t="shared" si="10"/>
        <v>1552.8999999999999</v>
      </c>
      <c r="Z19" s="125"/>
      <c r="AA19" s="125"/>
    </row>
    <row r="20" spans="1:27" s="126" customFormat="1" ht="15.75">
      <c r="A20" s="117">
        <v>13</v>
      </c>
      <c r="B20" s="133" t="s">
        <v>10</v>
      </c>
      <c r="C20" s="119">
        <v>5</v>
      </c>
      <c r="D20" s="120">
        <v>6481</v>
      </c>
      <c r="E20" s="128">
        <v>287</v>
      </c>
      <c r="F20" s="169">
        <v>1</v>
      </c>
      <c r="G20" s="169"/>
      <c r="H20" s="169"/>
      <c r="I20" s="169"/>
      <c r="J20" s="169"/>
      <c r="K20" s="169"/>
      <c r="L20" s="169"/>
      <c r="M20" s="169"/>
      <c r="N20" s="122">
        <v>3539</v>
      </c>
      <c r="O20" s="123">
        <f t="shared" si="0"/>
        <v>1.831</v>
      </c>
      <c r="P20" s="124">
        <f t="shared" si="1"/>
        <v>1859.7</v>
      </c>
      <c r="Q20" s="124">
        <f t="shared" si="2"/>
        <v>6.5</v>
      </c>
      <c r="R20" s="124">
        <f t="shared" si="3"/>
        <v>0</v>
      </c>
      <c r="S20" s="124">
        <f t="shared" si="4"/>
        <v>0</v>
      </c>
      <c r="T20" s="124">
        <f t="shared" si="5"/>
        <v>0</v>
      </c>
      <c r="U20" s="124">
        <f t="shared" si="6"/>
        <v>0</v>
      </c>
      <c r="V20" s="124">
        <f t="shared" si="7"/>
        <v>0</v>
      </c>
      <c r="W20" s="124">
        <f t="shared" si="8"/>
        <v>0</v>
      </c>
      <c r="X20" s="124">
        <f t="shared" si="9"/>
        <v>0</v>
      </c>
      <c r="Y20" s="124">
        <f t="shared" si="10"/>
        <v>1866.2</v>
      </c>
      <c r="Z20" s="125"/>
      <c r="AA20" s="125"/>
    </row>
    <row r="21" spans="1:27" s="126" customFormat="1" ht="19.5" customHeight="1">
      <c r="A21" s="127">
        <v>14</v>
      </c>
      <c r="B21" s="133" t="s">
        <v>11</v>
      </c>
      <c r="C21" s="119">
        <v>5</v>
      </c>
      <c r="D21" s="120">
        <v>26132</v>
      </c>
      <c r="E21" s="128">
        <v>23</v>
      </c>
      <c r="F21" s="169"/>
      <c r="G21" s="169"/>
      <c r="H21" s="169"/>
      <c r="I21" s="169">
        <v>2</v>
      </c>
      <c r="J21" s="169"/>
      <c r="K21" s="169"/>
      <c r="L21" s="169"/>
      <c r="M21" s="169"/>
      <c r="N21" s="122">
        <v>3539</v>
      </c>
      <c r="O21" s="123">
        <f t="shared" si="0"/>
        <v>7.384</v>
      </c>
      <c r="P21" s="124">
        <f>ROUND(E21*N21*O21/1000,1)+3.6</f>
        <v>604.6</v>
      </c>
      <c r="Q21" s="124">
        <f t="shared" si="2"/>
        <v>0</v>
      </c>
      <c r="R21" s="124">
        <f t="shared" si="3"/>
        <v>0</v>
      </c>
      <c r="S21" s="124">
        <f t="shared" si="4"/>
        <v>0</v>
      </c>
      <c r="T21" s="124">
        <f t="shared" si="5"/>
        <v>52.3</v>
      </c>
      <c r="U21" s="124">
        <f t="shared" si="6"/>
        <v>0</v>
      </c>
      <c r="V21" s="124">
        <f t="shared" si="7"/>
        <v>0</v>
      </c>
      <c r="W21" s="124">
        <f t="shared" si="8"/>
        <v>0</v>
      </c>
      <c r="X21" s="124">
        <f t="shared" si="9"/>
        <v>0</v>
      </c>
      <c r="Y21" s="124">
        <f>SUM(P21:X21)-0.2</f>
        <v>656.6999999999999</v>
      </c>
      <c r="Z21" s="125"/>
      <c r="AA21" s="125"/>
    </row>
    <row r="22" spans="1:27" s="126" customFormat="1" ht="15.75">
      <c r="A22" s="117">
        <v>15</v>
      </c>
      <c r="B22" s="133" t="s">
        <v>12</v>
      </c>
      <c r="C22" s="119">
        <v>5</v>
      </c>
      <c r="D22" s="120">
        <v>9518</v>
      </c>
      <c r="E22" s="128">
        <v>223</v>
      </c>
      <c r="F22" s="169">
        <v>1</v>
      </c>
      <c r="G22" s="169"/>
      <c r="H22" s="169"/>
      <c r="I22" s="169">
        <v>3</v>
      </c>
      <c r="J22" s="169"/>
      <c r="K22" s="169"/>
      <c r="L22" s="169">
        <v>2</v>
      </c>
      <c r="M22" s="169"/>
      <c r="N22" s="122">
        <v>3539</v>
      </c>
      <c r="O22" s="123">
        <f t="shared" si="0"/>
        <v>2.689</v>
      </c>
      <c r="P22" s="124">
        <f t="shared" si="1"/>
        <v>2122.2</v>
      </c>
      <c r="Q22" s="124">
        <f t="shared" si="2"/>
        <v>9.5</v>
      </c>
      <c r="R22" s="124">
        <f t="shared" si="3"/>
        <v>0</v>
      </c>
      <c r="S22" s="124">
        <f t="shared" si="4"/>
        <v>0</v>
      </c>
      <c r="T22" s="124">
        <f t="shared" si="5"/>
        <v>28.5</v>
      </c>
      <c r="U22" s="124">
        <f t="shared" si="6"/>
        <v>0</v>
      </c>
      <c r="V22" s="124">
        <f t="shared" si="7"/>
        <v>0</v>
      </c>
      <c r="W22" s="124">
        <f t="shared" si="8"/>
        <v>19</v>
      </c>
      <c r="X22" s="124">
        <f t="shared" si="9"/>
        <v>0</v>
      </c>
      <c r="Y22" s="124">
        <f t="shared" si="10"/>
        <v>2179.2</v>
      </c>
      <c r="Z22" s="125"/>
      <c r="AA22" s="125"/>
    </row>
    <row r="23" spans="1:27" s="126" customFormat="1" ht="15.75" customHeight="1">
      <c r="A23" s="127">
        <v>16</v>
      </c>
      <c r="B23" s="133" t="s">
        <v>13</v>
      </c>
      <c r="C23" s="119">
        <v>5</v>
      </c>
      <c r="D23" s="120">
        <v>21847</v>
      </c>
      <c r="E23" s="128">
        <v>61</v>
      </c>
      <c r="F23" s="169">
        <v>1</v>
      </c>
      <c r="G23" s="169"/>
      <c r="H23" s="169"/>
      <c r="I23" s="169">
        <v>2</v>
      </c>
      <c r="J23" s="169"/>
      <c r="K23" s="169"/>
      <c r="L23" s="169">
        <v>2</v>
      </c>
      <c r="M23" s="169">
        <v>1</v>
      </c>
      <c r="N23" s="122">
        <v>3539</v>
      </c>
      <c r="O23" s="123">
        <f t="shared" si="0"/>
        <v>6.173</v>
      </c>
      <c r="P23" s="124">
        <f t="shared" si="1"/>
        <v>1332.6</v>
      </c>
      <c r="Q23" s="124">
        <f t="shared" si="2"/>
        <v>21.8</v>
      </c>
      <c r="R23" s="124">
        <f t="shared" si="3"/>
        <v>0</v>
      </c>
      <c r="S23" s="124">
        <f t="shared" si="4"/>
        <v>0</v>
      </c>
      <c r="T23" s="124">
        <f t="shared" si="5"/>
        <v>43.7</v>
      </c>
      <c r="U23" s="124">
        <f t="shared" si="6"/>
        <v>0</v>
      </c>
      <c r="V23" s="124">
        <f t="shared" si="7"/>
        <v>0</v>
      </c>
      <c r="W23" s="124">
        <f t="shared" si="8"/>
        <v>43.7</v>
      </c>
      <c r="X23" s="124">
        <f t="shared" si="9"/>
        <v>21.8</v>
      </c>
      <c r="Y23" s="124">
        <f t="shared" si="10"/>
        <v>1463.6</v>
      </c>
      <c r="Z23" s="125"/>
      <c r="AA23" s="125"/>
    </row>
    <row r="24" spans="1:27" s="126" customFormat="1" ht="19.5" customHeight="1">
      <c r="A24" s="117">
        <v>17</v>
      </c>
      <c r="B24" s="133" t="s">
        <v>14</v>
      </c>
      <c r="C24" s="119">
        <v>5</v>
      </c>
      <c r="D24" s="120">
        <v>55000</v>
      </c>
      <c r="E24" s="128">
        <v>14</v>
      </c>
      <c r="F24" s="169"/>
      <c r="G24" s="169"/>
      <c r="H24" s="169"/>
      <c r="I24" s="169">
        <v>1</v>
      </c>
      <c r="J24" s="169"/>
      <c r="K24" s="169"/>
      <c r="L24" s="169"/>
      <c r="M24" s="169"/>
      <c r="N24" s="122">
        <v>3539</v>
      </c>
      <c r="O24" s="123">
        <f t="shared" si="0"/>
        <v>15.541</v>
      </c>
      <c r="P24" s="124">
        <f>ROUND(E24*N24*O24/1000,1)+2.5</f>
        <v>772.5</v>
      </c>
      <c r="Q24" s="124">
        <f t="shared" si="2"/>
        <v>0</v>
      </c>
      <c r="R24" s="124">
        <f t="shared" si="3"/>
        <v>0</v>
      </c>
      <c r="S24" s="124">
        <f t="shared" si="4"/>
        <v>0</v>
      </c>
      <c r="T24" s="124">
        <f t="shared" si="5"/>
        <v>55</v>
      </c>
      <c r="U24" s="124">
        <f t="shared" si="6"/>
        <v>0</v>
      </c>
      <c r="V24" s="124">
        <f t="shared" si="7"/>
        <v>0</v>
      </c>
      <c r="W24" s="124">
        <f t="shared" si="8"/>
        <v>0</v>
      </c>
      <c r="X24" s="124">
        <f t="shared" si="9"/>
        <v>0</v>
      </c>
      <c r="Y24" s="124">
        <f t="shared" si="10"/>
        <v>827.5</v>
      </c>
      <c r="Z24" s="125"/>
      <c r="AA24" s="125"/>
    </row>
    <row r="25" spans="1:27" s="126" customFormat="1" ht="15.75">
      <c r="A25" s="127">
        <v>18</v>
      </c>
      <c r="B25" s="133" t="s">
        <v>15</v>
      </c>
      <c r="C25" s="119">
        <v>5</v>
      </c>
      <c r="D25" s="120">
        <v>19027</v>
      </c>
      <c r="E25" s="128">
        <v>36</v>
      </c>
      <c r="F25" s="169"/>
      <c r="G25" s="169"/>
      <c r="H25" s="169"/>
      <c r="I25" s="169"/>
      <c r="J25" s="169"/>
      <c r="K25" s="169"/>
      <c r="L25" s="169"/>
      <c r="M25" s="169"/>
      <c r="N25" s="122">
        <v>3539</v>
      </c>
      <c r="O25" s="123">
        <f t="shared" si="0"/>
        <v>5.376</v>
      </c>
      <c r="P25" s="124">
        <f>ROUND(E25*N25*O25/1000,1)+2.8</f>
        <v>687.6999999999999</v>
      </c>
      <c r="Q25" s="124">
        <f t="shared" si="2"/>
        <v>0</v>
      </c>
      <c r="R25" s="124">
        <f t="shared" si="3"/>
        <v>0</v>
      </c>
      <c r="S25" s="124">
        <f t="shared" si="4"/>
        <v>0</v>
      </c>
      <c r="T25" s="124">
        <f t="shared" si="5"/>
        <v>0</v>
      </c>
      <c r="U25" s="124">
        <f t="shared" si="6"/>
        <v>0</v>
      </c>
      <c r="V25" s="124">
        <f t="shared" si="7"/>
        <v>0</v>
      </c>
      <c r="W25" s="124">
        <f t="shared" si="8"/>
        <v>0</v>
      </c>
      <c r="X25" s="124">
        <f t="shared" si="9"/>
        <v>0</v>
      </c>
      <c r="Y25" s="124">
        <f>SUM(P25:X25)+0.1</f>
        <v>687.8</v>
      </c>
      <c r="Z25" s="125"/>
      <c r="AA25" s="125"/>
    </row>
    <row r="26" spans="1:27" s="126" customFormat="1" ht="21" customHeight="1">
      <c r="A26" s="117">
        <v>19</v>
      </c>
      <c r="B26" s="133" t="s">
        <v>16</v>
      </c>
      <c r="C26" s="119">
        <v>5</v>
      </c>
      <c r="D26" s="120">
        <v>14016</v>
      </c>
      <c r="E26" s="128">
        <v>106</v>
      </c>
      <c r="F26" s="169"/>
      <c r="G26" s="169"/>
      <c r="H26" s="169"/>
      <c r="I26" s="169"/>
      <c r="J26" s="169"/>
      <c r="K26" s="169">
        <v>1</v>
      </c>
      <c r="L26" s="169"/>
      <c r="M26" s="169">
        <v>2</v>
      </c>
      <c r="N26" s="122">
        <v>3539</v>
      </c>
      <c r="O26" s="123">
        <f t="shared" si="0"/>
        <v>3.96</v>
      </c>
      <c r="P26" s="124">
        <f t="shared" si="1"/>
        <v>1485.5</v>
      </c>
      <c r="Q26" s="124">
        <f t="shared" si="2"/>
        <v>0</v>
      </c>
      <c r="R26" s="124">
        <f t="shared" si="3"/>
        <v>0</v>
      </c>
      <c r="S26" s="124">
        <f t="shared" si="4"/>
        <v>0</v>
      </c>
      <c r="T26" s="124">
        <f t="shared" si="5"/>
        <v>0</v>
      </c>
      <c r="U26" s="124">
        <f t="shared" si="6"/>
        <v>0</v>
      </c>
      <c r="V26" s="124">
        <f t="shared" si="7"/>
        <v>14</v>
      </c>
      <c r="W26" s="124">
        <f t="shared" si="8"/>
        <v>0</v>
      </c>
      <c r="X26" s="124">
        <f t="shared" si="9"/>
        <v>28</v>
      </c>
      <c r="Y26" s="124">
        <f t="shared" si="10"/>
        <v>1527.5</v>
      </c>
      <c r="Z26" s="125"/>
      <c r="AA26" s="125"/>
    </row>
    <row r="27" spans="1:27" s="126" customFormat="1" ht="15.75">
      <c r="A27" s="127">
        <v>20</v>
      </c>
      <c r="B27" s="133" t="s">
        <v>17</v>
      </c>
      <c r="C27" s="119">
        <v>5</v>
      </c>
      <c r="D27" s="120">
        <v>6784</v>
      </c>
      <c r="E27" s="128">
        <v>220</v>
      </c>
      <c r="F27" s="169">
        <v>1</v>
      </c>
      <c r="G27" s="169"/>
      <c r="H27" s="169"/>
      <c r="I27" s="169">
        <v>1</v>
      </c>
      <c r="J27" s="169"/>
      <c r="K27" s="169"/>
      <c r="L27" s="169"/>
      <c r="M27" s="169"/>
      <c r="N27" s="122">
        <v>3539</v>
      </c>
      <c r="O27" s="123">
        <f t="shared" si="0"/>
        <v>1.917</v>
      </c>
      <c r="P27" s="124">
        <f t="shared" si="1"/>
        <v>1492.5</v>
      </c>
      <c r="Q27" s="124">
        <f t="shared" si="2"/>
        <v>6.8</v>
      </c>
      <c r="R27" s="124">
        <f t="shared" si="3"/>
        <v>0</v>
      </c>
      <c r="S27" s="124">
        <f t="shared" si="4"/>
        <v>0</v>
      </c>
      <c r="T27" s="124">
        <f t="shared" si="5"/>
        <v>6.8</v>
      </c>
      <c r="U27" s="124">
        <f t="shared" si="6"/>
        <v>0</v>
      </c>
      <c r="V27" s="124">
        <f t="shared" si="7"/>
        <v>0</v>
      </c>
      <c r="W27" s="124">
        <f t="shared" si="8"/>
        <v>0</v>
      </c>
      <c r="X27" s="124">
        <f t="shared" si="9"/>
        <v>0</v>
      </c>
      <c r="Y27" s="124">
        <f t="shared" si="10"/>
        <v>1506.1</v>
      </c>
      <c r="Z27" s="125"/>
      <c r="AA27" s="125"/>
    </row>
    <row r="28" spans="1:27" s="126" customFormat="1" ht="15.75">
      <c r="A28" s="117">
        <v>21</v>
      </c>
      <c r="B28" s="133" t="s">
        <v>18</v>
      </c>
      <c r="C28" s="119">
        <v>5</v>
      </c>
      <c r="D28" s="120">
        <v>33373</v>
      </c>
      <c r="E28" s="128">
        <v>29</v>
      </c>
      <c r="F28" s="128">
        <v>1</v>
      </c>
      <c r="G28" s="128">
        <v>2</v>
      </c>
      <c r="H28" s="128"/>
      <c r="I28" s="128"/>
      <c r="J28" s="169"/>
      <c r="K28" s="169"/>
      <c r="L28" s="128"/>
      <c r="M28" s="128"/>
      <c r="N28" s="122">
        <v>3539</v>
      </c>
      <c r="O28" s="123">
        <f t="shared" si="0"/>
        <v>9.43</v>
      </c>
      <c r="P28" s="124">
        <f>ROUND(E28*N28*O28/1000,1)+2.1</f>
        <v>969.9</v>
      </c>
      <c r="Q28" s="124">
        <f t="shared" si="2"/>
        <v>33.4</v>
      </c>
      <c r="R28" s="124">
        <f t="shared" si="3"/>
        <v>66.7</v>
      </c>
      <c r="S28" s="124">
        <f t="shared" si="4"/>
        <v>0</v>
      </c>
      <c r="T28" s="124">
        <f t="shared" si="5"/>
        <v>0</v>
      </c>
      <c r="U28" s="124">
        <f t="shared" si="6"/>
        <v>0</v>
      </c>
      <c r="V28" s="124">
        <f t="shared" si="7"/>
        <v>0</v>
      </c>
      <c r="W28" s="124">
        <f t="shared" si="8"/>
        <v>0</v>
      </c>
      <c r="X28" s="124">
        <f t="shared" si="9"/>
        <v>0</v>
      </c>
      <c r="Y28" s="124">
        <f t="shared" si="10"/>
        <v>1070</v>
      </c>
      <c r="Z28" s="125"/>
      <c r="AA28" s="125"/>
    </row>
    <row r="29" spans="1:27" s="126" customFormat="1" ht="15" customHeight="1">
      <c r="A29" s="127">
        <v>22</v>
      </c>
      <c r="B29" s="133" t="s">
        <v>19</v>
      </c>
      <c r="C29" s="119">
        <v>5</v>
      </c>
      <c r="D29" s="120">
        <v>13061</v>
      </c>
      <c r="E29" s="128">
        <v>118</v>
      </c>
      <c r="F29" s="128"/>
      <c r="G29" s="128">
        <v>2</v>
      </c>
      <c r="H29" s="128"/>
      <c r="I29" s="128"/>
      <c r="J29" s="169"/>
      <c r="K29" s="169"/>
      <c r="L29" s="128"/>
      <c r="M29" s="128"/>
      <c r="N29" s="122">
        <v>3539</v>
      </c>
      <c r="O29" s="123">
        <f t="shared" si="0"/>
        <v>3.691</v>
      </c>
      <c r="P29" s="124">
        <f t="shared" si="1"/>
        <v>1541.4</v>
      </c>
      <c r="Q29" s="124">
        <f t="shared" si="2"/>
        <v>0</v>
      </c>
      <c r="R29" s="124">
        <f t="shared" si="3"/>
        <v>26.1</v>
      </c>
      <c r="S29" s="124">
        <f t="shared" si="4"/>
        <v>0</v>
      </c>
      <c r="T29" s="124">
        <f t="shared" si="5"/>
        <v>0</v>
      </c>
      <c r="U29" s="124">
        <f t="shared" si="6"/>
        <v>0</v>
      </c>
      <c r="V29" s="124">
        <f t="shared" si="7"/>
        <v>0</v>
      </c>
      <c r="W29" s="124">
        <f t="shared" si="8"/>
        <v>0</v>
      </c>
      <c r="X29" s="124">
        <f t="shared" si="9"/>
        <v>0</v>
      </c>
      <c r="Y29" s="124">
        <f t="shared" si="10"/>
        <v>1567.5</v>
      </c>
      <c r="Z29" s="125"/>
      <c r="AA29" s="125"/>
    </row>
    <row r="30" spans="1:27" s="126" customFormat="1" ht="18.75" customHeight="1">
      <c r="A30" s="117">
        <v>23</v>
      </c>
      <c r="B30" s="133" t="s">
        <v>20</v>
      </c>
      <c r="C30" s="119">
        <v>6</v>
      </c>
      <c r="D30" s="120">
        <v>23385</v>
      </c>
      <c r="E30" s="128">
        <v>38</v>
      </c>
      <c r="F30" s="169">
        <v>2</v>
      </c>
      <c r="G30" s="128"/>
      <c r="H30" s="128"/>
      <c r="I30" s="169">
        <v>3</v>
      </c>
      <c r="J30" s="169"/>
      <c r="K30" s="169"/>
      <c r="L30" s="169"/>
      <c r="M30" s="169"/>
      <c r="N30" s="122">
        <v>3539</v>
      </c>
      <c r="O30" s="123">
        <f t="shared" si="0"/>
        <v>6.608</v>
      </c>
      <c r="P30" s="124">
        <f t="shared" si="1"/>
        <v>888.7</v>
      </c>
      <c r="Q30" s="124">
        <f t="shared" si="2"/>
        <v>46.8</v>
      </c>
      <c r="R30" s="124">
        <f t="shared" si="3"/>
        <v>0</v>
      </c>
      <c r="S30" s="124">
        <f t="shared" si="4"/>
        <v>0</v>
      </c>
      <c r="T30" s="124">
        <f t="shared" si="5"/>
        <v>70.2</v>
      </c>
      <c r="U30" s="124">
        <f t="shared" si="6"/>
        <v>0</v>
      </c>
      <c r="V30" s="124">
        <f t="shared" si="7"/>
        <v>0</v>
      </c>
      <c r="W30" s="124">
        <f t="shared" si="8"/>
        <v>0</v>
      </c>
      <c r="X30" s="124">
        <f t="shared" si="9"/>
        <v>0</v>
      </c>
      <c r="Y30" s="124">
        <f t="shared" si="10"/>
        <v>1005.7</v>
      </c>
      <c r="Z30" s="125"/>
      <c r="AA30" s="125"/>
    </row>
    <row r="31" spans="1:27" s="126" customFormat="1" ht="15.75">
      <c r="A31" s="127">
        <v>24</v>
      </c>
      <c r="B31" s="133" t="s">
        <v>21</v>
      </c>
      <c r="C31" s="119">
        <v>5</v>
      </c>
      <c r="D31" s="120">
        <v>51840</v>
      </c>
      <c r="E31" s="128">
        <v>25</v>
      </c>
      <c r="F31" s="169"/>
      <c r="G31" s="128"/>
      <c r="H31" s="128">
        <v>1</v>
      </c>
      <c r="I31" s="128"/>
      <c r="J31" s="169"/>
      <c r="K31" s="169"/>
      <c r="L31" s="128"/>
      <c r="M31" s="169"/>
      <c r="N31" s="122">
        <v>3539</v>
      </c>
      <c r="O31" s="123">
        <f t="shared" si="0"/>
        <v>14.648</v>
      </c>
      <c r="P31" s="124">
        <f>ROUND(E31*N31*O31/1000,1)+1.9</f>
        <v>1297.9</v>
      </c>
      <c r="Q31" s="124">
        <f t="shared" si="2"/>
        <v>0</v>
      </c>
      <c r="R31" s="124">
        <f t="shared" si="3"/>
        <v>0</v>
      </c>
      <c r="S31" s="124">
        <f t="shared" si="4"/>
        <v>51.8</v>
      </c>
      <c r="T31" s="124">
        <f t="shared" si="5"/>
        <v>0</v>
      </c>
      <c r="U31" s="124">
        <f t="shared" si="6"/>
        <v>0</v>
      </c>
      <c r="V31" s="124">
        <f t="shared" si="7"/>
        <v>0</v>
      </c>
      <c r="W31" s="124">
        <f t="shared" si="8"/>
        <v>0</v>
      </c>
      <c r="X31" s="124">
        <f t="shared" si="9"/>
        <v>0</v>
      </c>
      <c r="Y31" s="124">
        <f t="shared" si="10"/>
        <v>1349.7</v>
      </c>
      <c r="Z31" s="125"/>
      <c r="AA31" s="125"/>
    </row>
    <row r="32" spans="1:27" s="126" customFormat="1" ht="15.75">
      <c r="A32" s="117">
        <v>25</v>
      </c>
      <c r="B32" s="133" t="s">
        <v>22</v>
      </c>
      <c r="C32" s="119">
        <v>6</v>
      </c>
      <c r="D32" s="120">
        <v>65785</v>
      </c>
      <c r="E32" s="128">
        <v>27</v>
      </c>
      <c r="F32" s="169"/>
      <c r="G32" s="128"/>
      <c r="H32" s="128"/>
      <c r="I32" s="128"/>
      <c r="J32" s="169"/>
      <c r="K32" s="169"/>
      <c r="L32" s="128"/>
      <c r="M32" s="128"/>
      <c r="N32" s="122">
        <v>3539</v>
      </c>
      <c r="O32" s="123">
        <f t="shared" si="0"/>
        <v>18.589</v>
      </c>
      <c r="P32" s="124">
        <f>ROUND(E32*N32*O32/1000,1)+2.3</f>
        <v>1778.5</v>
      </c>
      <c r="Q32" s="124">
        <f t="shared" si="2"/>
        <v>0</v>
      </c>
      <c r="R32" s="124">
        <f t="shared" si="3"/>
        <v>0</v>
      </c>
      <c r="S32" s="124">
        <f t="shared" si="4"/>
        <v>0</v>
      </c>
      <c r="T32" s="124">
        <f t="shared" si="5"/>
        <v>0</v>
      </c>
      <c r="U32" s="124">
        <f t="shared" si="6"/>
        <v>0</v>
      </c>
      <c r="V32" s="124">
        <f t="shared" si="7"/>
        <v>0</v>
      </c>
      <c r="W32" s="124">
        <f t="shared" si="8"/>
        <v>0</v>
      </c>
      <c r="X32" s="124">
        <f t="shared" si="9"/>
        <v>0</v>
      </c>
      <c r="Y32" s="124">
        <f t="shared" si="10"/>
        <v>1778.5</v>
      </c>
      <c r="Z32" s="125"/>
      <c r="AA32" s="125"/>
    </row>
    <row r="33" spans="1:27" s="126" customFormat="1" ht="15.75">
      <c r="A33" s="127">
        <v>26</v>
      </c>
      <c r="B33" s="133" t="s">
        <v>23</v>
      </c>
      <c r="C33" s="119">
        <v>5</v>
      </c>
      <c r="D33" s="120">
        <v>26882</v>
      </c>
      <c r="E33" s="172">
        <v>61</v>
      </c>
      <c r="F33" s="173">
        <v>1</v>
      </c>
      <c r="G33" s="169"/>
      <c r="H33" s="169"/>
      <c r="I33" s="169"/>
      <c r="J33" s="169">
        <v>1</v>
      </c>
      <c r="K33" s="169"/>
      <c r="L33" s="169"/>
      <c r="M33" s="169"/>
      <c r="N33" s="122">
        <v>3539</v>
      </c>
      <c r="O33" s="123">
        <f t="shared" si="0"/>
        <v>7.596</v>
      </c>
      <c r="P33" s="124">
        <f t="shared" si="1"/>
        <v>1639.8</v>
      </c>
      <c r="Q33" s="124">
        <f t="shared" si="2"/>
        <v>26.9</v>
      </c>
      <c r="R33" s="124">
        <f t="shared" si="3"/>
        <v>0</v>
      </c>
      <c r="S33" s="124">
        <f t="shared" si="4"/>
        <v>0</v>
      </c>
      <c r="T33" s="124">
        <f t="shared" si="5"/>
        <v>0</v>
      </c>
      <c r="U33" s="124">
        <f t="shared" si="6"/>
        <v>26.9</v>
      </c>
      <c r="V33" s="124">
        <f t="shared" si="7"/>
        <v>0</v>
      </c>
      <c r="W33" s="124">
        <f t="shared" si="8"/>
        <v>0</v>
      </c>
      <c r="X33" s="124">
        <f t="shared" si="9"/>
        <v>0</v>
      </c>
      <c r="Y33" s="124">
        <f t="shared" si="10"/>
        <v>1693.6000000000001</v>
      </c>
      <c r="Z33" s="125"/>
      <c r="AA33" s="125"/>
    </row>
    <row r="34" spans="1:27" s="126" customFormat="1" ht="24" customHeight="1">
      <c r="A34" s="117">
        <v>27</v>
      </c>
      <c r="B34" s="133" t="s">
        <v>24</v>
      </c>
      <c r="C34" s="119">
        <v>5</v>
      </c>
      <c r="D34" s="120">
        <v>23444</v>
      </c>
      <c r="E34" s="128">
        <v>50</v>
      </c>
      <c r="F34" s="169">
        <v>1</v>
      </c>
      <c r="G34" s="169"/>
      <c r="H34" s="169"/>
      <c r="I34" s="169"/>
      <c r="J34" s="169"/>
      <c r="K34" s="169">
        <v>1</v>
      </c>
      <c r="L34" s="169"/>
      <c r="M34" s="169"/>
      <c r="N34" s="122">
        <v>3539</v>
      </c>
      <c r="O34" s="123">
        <f t="shared" si="0"/>
        <v>6.624</v>
      </c>
      <c r="P34" s="124">
        <f>ROUND(E34*N34*O34/1000,1)</f>
        <v>1172.1</v>
      </c>
      <c r="Q34" s="124">
        <f t="shared" si="2"/>
        <v>23.4</v>
      </c>
      <c r="R34" s="124">
        <f t="shared" si="3"/>
        <v>0</v>
      </c>
      <c r="S34" s="124">
        <f t="shared" si="4"/>
        <v>0</v>
      </c>
      <c r="T34" s="124">
        <f t="shared" si="5"/>
        <v>0</v>
      </c>
      <c r="U34" s="124">
        <f t="shared" si="6"/>
        <v>0</v>
      </c>
      <c r="V34" s="124">
        <f t="shared" si="7"/>
        <v>23.4</v>
      </c>
      <c r="W34" s="124">
        <f t="shared" si="8"/>
        <v>0</v>
      </c>
      <c r="X34" s="124">
        <f t="shared" si="9"/>
        <v>0</v>
      </c>
      <c r="Y34" s="124">
        <f t="shared" si="10"/>
        <v>1218.9</v>
      </c>
      <c r="Z34" s="125"/>
      <c r="AA34" s="125"/>
    </row>
    <row r="35" spans="1:27" s="126" customFormat="1" ht="18" customHeight="1">
      <c r="A35" s="127">
        <v>28</v>
      </c>
      <c r="B35" s="133" t="s">
        <v>25</v>
      </c>
      <c r="C35" s="119">
        <v>5</v>
      </c>
      <c r="D35" s="120">
        <v>52126</v>
      </c>
      <c r="E35" s="128">
        <v>26</v>
      </c>
      <c r="F35" s="169">
        <v>2</v>
      </c>
      <c r="G35" s="169"/>
      <c r="H35" s="169"/>
      <c r="I35" s="169">
        <v>4</v>
      </c>
      <c r="J35" s="169"/>
      <c r="K35" s="169"/>
      <c r="L35" s="169"/>
      <c r="M35" s="169"/>
      <c r="N35" s="122">
        <v>3539</v>
      </c>
      <c r="O35" s="123">
        <f t="shared" si="0"/>
        <v>14.729</v>
      </c>
      <c r="P35" s="124">
        <f>ROUND(E35*N35*O35/1000,1)+2</f>
        <v>1357.3</v>
      </c>
      <c r="Q35" s="124">
        <f t="shared" si="2"/>
        <v>104.3</v>
      </c>
      <c r="R35" s="124">
        <f t="shared" si="3"/>
        <v>0</v>
      </c>
      <c r="S35" s="124">
        <f t="shared" si="4"/>
        <v>0</v>
      </c>
      <c r="T35" s="124">
        <f t="shared" si="5"/>
        <v>208.5</v>
      </c>
      <c r="U35" s="124">
        <f t="shared" si="6"/>
        <v>0</v>
      </c>
      <c r="V35" s="124">
        <f t="shared" si="7"/>
        <v>0</v>
      </c>
      <c r="W35" s="124">
        <f t="shared" si="8"/>
        <v>0</v>
      </c>
      <c r="X35" s="124">
        <f t="shared" si="9"/>
        <v>0</v>
      </c>
      <c r="Y35" s="124">
        <f>SUM(P35:X35)+0.1</f>
        <v>1670.1999999999998</v>
      </c>
      <c r="Z35" s="125"/>
      <c r="AA35" s="125"/>
    </row>
    <row r="36" spans="1:27" s="126" customFormat="1" ht="18.75" customHeight="1">
      <c r="A36" s="117">
        <v>29</v>
      </c>
      <c r="B36" s="133" t="s">
        <v>26</v>
      </c>
      <c r="C36" s="119">
        <v>6</v>
      </c>
      <c r="D36" s="120">
        <v>71080</v>
      </c>
      <c r="E36" s="128">
        <v>42</v>
      </c>
      <c r="F36" s="169"/>
      <c r="G36" s="169"/>
      <c r="H36" s="169"/>
      <c r="I36" s="169"/>
      <c r="J36" s="169"/>
      <c r="K36" s="169"/>
      <c r="L36" s="169"/>
      <c r="M36" s="169"/>
      <c r="N36" s="122">
        <v>3539</v>
      </c>
      <c r="O36" s="123">
        <f t="shared" si="0"/>
        <v>20.085</v>
      </c>
      <c r="P36" s="124">
        <f t="shared" si="1"/>
        <v>2985.4</v>
      </c>
      <c r="Q36" s="124">
        <f t="shared" si="2"/>
        <v>0</v>
      </c>
      <c r="R36" s="124">
        <f t="shared" si="3"/>
        <v>0</v>
      </c>
      <c r="S36" s="124">
        <f t="shared" si="4"/>
        <v>0</v>
      </c>
      <c r="T36" s="124">
        <f t="shared" si="5"/>
        <v>0</v>
      </c>
      <c r="U36" s="124">
        <f t="shared" si="6"/>
        <v>0</v>
      </c>
      <c r="V36" s="124">
        <f t="shared" si="7"/>
        <v>0</v>
      </c>
      <c r="W36" s="124">
        <f t="shared" si="8"/>
        <v>0</v>
      </c>
      <c r="X36" s="124">
        <f t="shared" si="9"/>
        <v>0</v>
      </c>
      <c r="Y36" s="124">
        <f t="shared" si="10"/>
        <v>2985.4</v>
      </c>
      <c r="Z36" s="125"/>
      <c r="AA36" s="125"/>
    </row>
    <row r="37" spans="1:27" s="126" customFormat="1" ht="32.25" customHeight="1">
      <c r="A37" s="127">
        <v>30</v>
      </c>
      <c r="B37" s="133" t="s">
        <v>27</v>
      </c>
      <c r="C37" s="119">
        <v>6</v>
      </c>
      <c r="D37" s="120">
        <v>47279</v>
      </c>
      <c r="E37" s="128">
        <v>23</v>
      </c>
      <c r="F37" s="169"/>
      <c r="G37" s="169"/>
      <c r="H37" s="169"/>
      <c r="I37" s="169"/>
      <c r="J37" s="169"/>
      <c r="K37" s="169"/>
      <c r="L37" s="169"/>
      <c r="M37" s="169"/>
      <c r="N37" s="122">
        <v>3539</v>
      </c>
      <c r="O37" s="123">
        <f t="shared" si="0"/>
        <v>13.359</v>
      </c>
      <c r="P37" s="124">
        <f>ROUND(E37*N37*O37/1000,1)+3.1</f>
        <v>1090.5</v>
      </c>
      <c r="Q37" s="124">
        <f t="shared" si="2"/>
        <v>0</v>
      </c>
      <c r="R37" s="124">
        <f t="shared" si="3"/>
        <v>0</v>
      </c>
      <c r="S37" s="124">
        <f t="shared" si="4"/>
        <v>0</v>
      </c>
      <c r="T37" s="124">
        <f t="shared" si="5"/>
        <v>0</v>
      </c>
      <c r="U37" s="124">
        <f t="shared" si="6"/>
        <v>0</v>
      </c>
      <c r="V37" s="124">
        <f t="shared" si="7"/>
        <v>0</v>
      </c>
      <c r="W37" s="124">
        <f t="shared" si="8"/>
        <v>0</v>
      </c>
      <c r="X37" s="124">
        <f t="shared" si="9"/>
        <v>0</v>
      </c>
      <c r="Y37" s="124">
        <f>SUM(P37:X37)+0.1</f>
        <v>1090.6</v>
      </c>
      <c r="Z37" s="125"/>
      <c r="AA37" s="125"/>
    </row>
    <row r="38" spans="1:27" s="126" customFormat="1" ht="15.75">
      <c r="A38" s="117">
        <v>31</v>
      </c>
      <c r="B38" s="133" t="s">
        <v>28</v>
      </c>
      <c r="C38" s="119">
        <v>5</v>
      </c>
      <c r="D38" s="120">
        <v>29475</v>
      </c>
      <c r="E38" s="128">
        <v>46</v>
      </c>
      <c r="F38" s="128"/>
      <c r="G38" s="128"/>
      <c r="H38" s="128"/>
      <c r="I38" s="128"/>
      <c r="J38" s="128"/>
      <c r="K38" s="169"/>
      <c r="L38" s="128"/>
      <c r="M38" s="169"/>
      <c r="N38" s="122">
        <v>3539</v>
      </c>
      <c r="O38" s="123">
        <f t="shared" si="0"/>
        <v>8.329</v>
      </c>
      <c r="P38" s="124">
        <f t="shared" si="1"/>
        <v>1355.9</v>
      </c>
      <c r="Q38" s="124">
        <f t="shared" si="2"/>
        <v>0</v>
      </c>
      <c r="R38" s="124">
        <f t="shared" si="3"/>
        <v>0</v>
      </c>
      <c r="S38" s="124">
        <f t="shared" si="4"/>
        <v>0</v>
      </c>
      <c r="T38" s="124">
        <f t="shared" si="5"/>
        <v>0</v>
      </c>
      <c r="U38" s="124">
        <f t="shared" si="6"/>
        <v>0</v>
      </c>
      <c r="V38" s="124">
        <f t="shared" si="7"/>
        <v>0</v>
      </c>
      <c r="W38" s="124">
        <f t="shared" si="8"/>
        <v>0</v>
      </c>
      <c r="X38" s="124">
        <f t="shared" si="9"/>
        <v>0</v>
      </c>
      <c r="Y38" s="124">
        <f t="shared" si="10"/>
        <v>1355.9</v>
      </c>
      <c r="Z38" s="125"/>
      <c r="AA38" s="125"/>
    </row>
    <row r="39" spans="1:27" s="126" customFormat="1" ht="20.25" customHeight="1">
      <c r="A39" s="127">
        <v>32</v>
      </c>
      <c r="B39" s="133" t="s">
        <v>29</v>
      </c>
      <c r="C39" s="119">
        <v>5</v>
      </c>
      <c r="D39" s="120">
        <v>51473</v>
      </c>
      <c r="E39" s="128">
        <v>33</v>
      </c>
      <c r="F39" s="128"/>
      <c r="G39" s="128"/>
      <c r="H39" s="128"/>
      <c r="I39" s="128"/>
      <c r="J39" s="128"/>
      <c r="K39" s="169"/>
      <c r="L39" s="128">
        <v>1</v>
      </c>
      <c r="M39" s="169"/>
      <c r="N39" s="122">
        <v>3539</v>
      </c>
      <c r="O39" s="123">
        <f t="shared" si="0"/>
        <v>14.545</v>
      </c>
      <c r="P39" s="124">
        <f>ROUND(E39*N39*O39/1000,1)+4</f>
        <v>1702.7</v>
      </c>
      <c r="Q39" s="124">
        <f t="shared" si="2"/>
        <v>0</v>
      </c>
      <c r="R39" s="124">
        <f t="shared" si="3"/>
        <v>0</v>
      </c>
      <c r="S39" s="124">
        <f t="shared" si="4"/>
        <v>0</v>
      </c>
      <c r="T39" s="124">
        <f t="shared" si="5"/>
        <v>0</v>
      </c>
      <c r="U39" s="124">
        <f t="shared" si="6"/>
        <v>0</v>
      </c>
      <c r="V39" s="124">
        <f t="shared" si="7"/>
        <v>0</v>
      </c>
      <c r="W39" s="124">
        <f t="shared" si="8"/>
        <v>51.5</v>
      </c>
      <c r="X39" s="124">
        <f t="shared" si="9"/>
        <v>0</v>
      </c>
      <c r="Y39" s="124">
        <f t="shared" si="10"/>
        <v>1754.2</v>
      </c>
      <c r="Z39" s="125"/>
      <c r="AA39" s="125"/>
    </row>
    <row r="40" spans="1:27" s="126" customFormat="1" ht="18" customHeight="1">
      <c r="A40" s="117">
        <v>33</v>
      </c>
      <c r="B40" s="133" t="s">
        <v>30</v>
      </c>
      <c r="C40" s="119">
        <v>6</v>
      </c>
      <c r="D40" s="120">
        <v>29038</v>
      </c>
      <c r="E40" s="128">
        <v>22</v>
      </c>
      <c r="F40" s="128"/>
      <c r="G40" s="128"/>
      <c r="H40" s="128"/>
      <c r="I40" s="128"/>
      <c r="J40" s="128"/>
      <c r="K40" s="169"/>
      <c r="L40" s="128">
        <v>1</v>
      </c>
      <c r="M40" s="128"/>
      <c r="N40" s="122">
        <v>3539</v>
      </c>
      <c r="O40" s="123">
        <f t="shared" si="0"/>
        <v>8.205</v>
      </c>
      <c r="P40" s="124">
        <f>ROUND(E40*N40*O40/1000,1)+3.5</f>
        <v>642.3</v>
      </c>
      <c r="Q40" s="124">
        <f t="shared" si="2"/>
        <v>0</v>
      </c>
      <c r="R40" s="124">
        <f t="shared" si="3"/>
        <v>0</v>
      </c>
      <c r="S40" s="124">
        <f t="shared" si="4"/>
        <v>0</v>
      </c>
      <c r="T40" s="124">
        <f t="shared" si="5"/>
        <v>0</v>
      </c>
      <c r="U40" s="124">
        <f t="shared" si="6"/>
        <v>0</v>
      </c>
      <c r="V40" s="124">
        <f t="shared" si="7"/>
        <v>0</v>
      </c>
      <c r="W40" s="124">
        <f t="shared" si="8"/>
        <v>29</v>
      </c>
      <c r="X40" s="124">
        <f t="shared" si="9"/>
        <v>0</v>
      </c>
      <c r="Y40" s="124">
        <f>SUM(P40:X40)+0.1</f>
        <v>671.4</v>
      </c>
      <c r="Z40" s="125"/>
      <c r="AA40" s="125"/>
    </row>
    <row r="41" spans="1:27" s="126" customFormat="1" ht="15.75">
      <c r="A41" s="127">
        <v>34</v>
      </c>
      <c r="B41" s="133" t="s">
        <v>31</v>
      </c>
      <c r="C41" s="119">
        <v>5</v>
      </c>
      <c r="D41" s="120">
        <v>16744</v>
      </c>
      <c r="E41" s="128">
        <v>105</v>
      </c>
      <c r="F41" s="169">
        <v>1</v>
      </c>
      <c r="G41" s="169"/>
      <c r="H41" s="169"/>
      <c r="I41" s="169">
        <v>2</v>
      </c>
      <c r="J41" s="169">
        <v>1</v>
      </c>
      <c r="K41" s="169"/>
      <c r="L41" s="169"/>
      <c r="M41" s="169"/>
      <c r="N41" s="122">
        <v>3539</v>
      </c>
      <c r="O41" s="123">
        <f t="shared" si="0"/>
        <v>4.731</v>
      </c>
      <c r="P41" s="124">
        <f t="shared" si="1"/>
        <v>1758</v>
      </c>
      <c r="Q41" s="124">
        <f t="shared" si="2"/>
        <v>16.7</v>
      </c>
      <c r="R41" s="124">
        <f t="shared" si="3"/>
        <v>0</v>
      </c>
      <c r="S41" s="124">
        <f t="shared" si="4"/>
        <v>0</v>
      </c>
      <c r="T41" s="124">
        <f t="shared" si="5"/>
        <v>33.5</v>
      </c>
      <c r="U41" s="124">
        <f t="shared" si="6"/>
        <v>16.7</v>
      </c>
      <c r="V41" s="124">
        <f t="shared" si="7"/>
        <v>0</v>
      </c>
      <c r="W41" s="124">
        <f t="shared" si="8"/>
        <v>0</v>
      </c>
      <c r="X41" s="124">
        <f t="shared" si="9"/>
        <v>0</v>
      </c>
      <c r="Y41" s="124">
        <f t="shared" si="10"/>
        <v>1824.9</v>
      </c>
      <c r="Z41" s="125"/>
      <c r="AA41" s="125"/>
    </row>
    <row r="42" spans="1:27" s="126" customFormat="1" ht="22.5" customHeight="1">
      <c r="A42" s="117">
        <v>35</v>
      </c>
      <c r="B42" s="133" t="s">
        <v>32</v>
      </c>
      <c r="C42" s="119">
        <v>5</v>
      </c>
      <c r="D42" s="120">
        <v>16816</v>
      </c>
      <c r="E42" s="128">
        <v>98</v>
      </c>
      <c r="F42" s="169">
        <v>1</v>
      </c>
      <c r="G42" s="169"/>
      <c r="H42" s="169">
        <v>1</v>
      </c>
      <c r="I42" s="169">
        <v>4</v>
      </c>
      <c r="J42" s="169"/>
      <c r="K42" s="169"/>
      <c r="L42" s="169">
        <v>1</v>
      </c>
      <c r="M42" s="169"/>
      <c r="N42" s="122">
        <v>3539</v>
      </c>
      <c r="O42" s="123">
        <f t="shared" si="0"/>
        <v>4.752</v>
      </c>
      <c r="P42" s="124">
        <f t="shared" si="1"/>
        <v>1648.1</v>
      </c>
      <c r="Q42" s="124">
        <f t="shared" si="2"/>
        <v>16.8</v>
      </c>
      <c r="R42" s="124">
        <f t="shared" si="3"/>
        <v>0</v>
      </c>
      <c r="S42" s="124">
        <f t="shared" si="4"/>
        <v>16.8</v>
      </c>
      <c r="T42" s="124">
        <f t="shared" si="5"/>
        <v>67.3</v>
      </c>
      <c r="U42" s="124">
        <f t="shared" si="6"/>
        <v>0</v>
      </c>
      <c r="V42" s="124">
        <f t="shared" si="7"/>
        <v>0</v>
      </c>
      <c r="W42" s="124">
        <f t="shared" si="8"/>
        <v>16.8</v>
      </c>
      <c r="X42" s="124">
        <f t="shared" si="9"/>
        <v>0</v>
      </c>
      <c r="Y42" s="124">
        <f t="shared" si="10"/>
        <v>1765.7999999999997</v>
      </c>
      <c r="Z42" s="125"/>
      <c r="AA42" s="125"/>
    </row>
    <row r="43" spans="1:27" s="126" customFormat="1" ht="21.75" customHeight="1">
      <c r="A43" s="127">
        <v>36</v>
      </c>
      <c r="B43" s="133" t="s">
        <v>33</v>
      </c>
      <c r="C43" s="119">
        <v>5</v>
      </c>
      <c r="D43" s="120">
        <v>6728</v>
      </c>
      <c r="E43" s="128">
        <v>88</v>
      </c>
      <c r="F43" s="169"/>
      <c r="G43" s="169"/>
      <c r="H43" s="128"/>
      <c r="I43" s="128">
        <v>7</v>
      </c>
      <c r="J43" s="169"/>
      <c r="K43" s="169"/>
      <c r="L43" s="128"/>
      <c r="M43" s="169">
        <v>1</v>
      </c>
      <c r="N43" s="122">
        <v>3539</v>
      </c>
      <c r="O43" s="123">
        <f t="shared" si="0"/>
        <v>1.901</v>
      </c>
      <c r="P43" s="124">
        <f t="shared" si="1"/>
        <v>592</v>
      </c>
      <c r="Q43" s="124">
        <f t="shared" si="2"/>
        <v>0</v>
      </c>
      <c r="R43" s="124">
        <f t="shared" si="3"/>
        <v>0</v>
      </c>
      <c r="S43" s="124">
        <f t="shared" si="4"/>
        <v>0</v>
      </c>
      <c r="T43" s="124">
        <f t="shared" si="5"/>
        <v>47.1</v>
      </c>
      <c r="U43" s="124">
        <f t="shared" si="6"/>
        <v>0</v>
      </c>
      <c r="V43" s="124">
        <f t="shared" si="7"/>
        <v>0</v>
      </c>
      <c r="W43" s="124">
        <f t="shared" si="8"/>
        <v>0</v>
      </c>
      <c r="X43" s="124">
        <f t="shared" si="9"/>
        <v>6.7</v>
      </c>
      <c r="Y43" s="124">
        <f t="shared" si="10"/>
        <v>645.8000000000001</v>
      </c>
      <c r="Z43" s="125"/>
      <c r="AA43" s="125"/>
    </row>
    <row r="44" spans="1:27" s="126" customFormat="1" ht="21" customHeight="1">
      <c r="A44" s="117">
        <v>37</v>
      </c>
      <c r="B44" s="133" t="s">
        <v>34</v>
      </c>
      <c r="C44" s="119">
        <v>6</v>
      </c>
      <c r="D44" s="120">
        <v>11106</v>
      </c>
      <c r="E44" s="128">
        <v>51</v>
      </c>
      <c r="F44" s="169"/>
      <c r="G44" s="169"/>
      <c r="H44" s="128"/>
      <c r="I44" s="128"/>
      <c r="J44" s="169"/>
      <c r="K44" s="169"/>
      <c r="L44" s="128"/>
      <c r="M44" s="169"/>
      <c r="N44" s="122">
        <v>3539</v>
      </c>
      <c r="O44" s="123">
        <f t="shared" si="0"/>
        <v>3.138</v>
      </c>
      <c r="P44" s="124">
        <f>ROUND(E44*N44*O44/1000,1)+2.4</f>
        <v>568.8</v>
      </c>
      <c r="Q44" s="124">
        <f t="shared" si="2"/>
        <v>0</v>
      </c>
      <c r="R44" s="124">
        <f t="shared" si="3"/>
        <v>0</v>
      </c>
      <c r="S44" s="124">
        <f t="shared" si="4"/>
        <v>0</v>
      </c>
      <c r="T44" s="124">
        <f t="shared" si="5"/>
        <v>0</v>
      </c>
      <c r="U44" s="124">
        <f t="shared" si="6"/>
        <v>0</v>
      </c>
      <c r="V44" s="124">
        <f t="shared" si="7"/>
        <v>0</v>
      </c>
      <c r="W44" s="124">
        <f t="shared" si="8"/>
        <v>0</v>
      </c>
      <c r="X44" s="124">
        <f t="shared" si="9"/>
        <v>0</v>
      </c>
      <c r="Y44" s="124">
        <f>SUM(P44:X44)-0.2</f>
        <v>568.5999999999999</v>
      </c>
      <c r="Z44" s="125"/>
      <c r="AA44" s="125"/>
    </row>
    <row r="45" spans="1:27" s="126" customFormat="1" ht="31.5">
      <c r="A45" s="127">
        <v>38</v>
      </c>
      <c r="B45" s="133" t="s">
        <v>35</v>
      </c>
      <c r="C45" s="119">
        <v>5</v>
      </c>
      <c r="D45" s="120">
        <v>37518</v>
      </c>
      <c r="E45" s="135">
        <v>23</v>
      </c>
      <c r="F45" s="128"/>
      <c r="G45" s="128"/>
      <c r="H45" s="128"/>
      <c r="I45" s="128"/>
      <c r="J45" s="128"/>
      <c r="K45" s="169"/>
      <c r="L45" s="128"/>
      <c r="M45" s="169"/>
      <c r="N45" s="122">
        <v>3539</v>
      </c>
      <c r="O45" s="123">
        <f t="shared" si="0"/>
        <v>10.601</v>
      </c>
      <c r="P45" s="124">
        <f>ROUND(E45*N45*O45/1000,1)+1.4</f>
        <v>864.3</v>
      </c>
      <c r="Q45" s="124">
        <f t="shared" si="2"/>
        <v>0</v>
      </c>
      <c r="R45" s="124">
        <f t="shared" si="3"/>
        <v>0</v>
      </c>
      <c r="S45" s="124">
        <f t="shared" si="4"/>
        <v>0</v>
      </c>
      <c r="T45" s="124">
        <f t="shared" si="5"/>
        <v>0</v>
      </c>
      <c r="U45" s="124">
        <f t="shared" si="6"/>
        <v>0</v>
      </c>
      <c r="V45" s="124">
        <f t="shared" si="7"/>
        <v>0</v>
      </c>
      <c r="W45" s="124">
        <f t="shared" si="8"/>
        <v>0</v>
      </c>
      <c r="X45" s="124">
        <f t="shared" si="9"/>
        <v>0</v>
      </c>
      <c r="Y45" s="124">
        <f t="shared" si="10"/>
        <v>864.3</v>
      </c>
      <c r="Z45" s="125"/>
      <c r="AA45" s="125"/>
    </row>
    <row r="46" spans="1:27" s="126" customFormat="1" ht="16.5" thickBot="1">
      <c r="A46" s="117">
        <v>39</v>
      </c>
      <c r="B46" s="136" t="s">
        <v>36</v>
      </c>
      <c r="C46" s="119">
        <v>5</v>
      </c>
      <c r="D46" s="137">
        <v>35588</v>
      </c>
      <c r="E46" s="138">
        <v>27</v>
      </c>
      <c r="F46" s="128">
        <v>1</v>
      </c>
      <c r="G46" s="128"/>
      <c r="H46" s="128"/>
      <c r="I46" s="128"/>
      <c r="J46" s="128"/>
      <c r="K46" s="169"/>
      <c r="L46" s="128"/>
      <c r="M46" s="169"/>
      <c r="N46" s="122">
        <v>3539</v>
      </c>
      <c r="O46" s="123">
        <f t="shared" si="0"/>
        <v>10.056</v>
      </c>
      <c r="P46" s="124">
        <f t="shared" si="1"/>
        <v>960.9</v>
      </c>
      <c r="Q46" s="124">
        <f t="shared" si="2"/>
        <v>35.6</v>
      </c>
      <c r="R46" s="124">
        <f t="shared" si="3"/>
        <v>0</v>
      </c>
      <c r="S46" s="124">
        <f t="shared" si="4"/>
        <v>0</v>
      </c>
      <c r="T46" s="124">
        <f t="shared" si="5"/>
        <v>0</v>
      </c>
      <c r="U46" s="124">
        <f t="shared" si="6"/>
        <v>0</v>
      </c>
      <c r="V46" s="124">
        <f t="shared" si="7"/>
        <v>0</v>
      </c>
      <c r="W46" s="124">
        <f t="shared" si="8"/>
        <v>0</v>
      </c>
      <c r="X46" s="124">
        <f t="shared" si="9"/>
        <v>0</v>
      </c>
      <c r="Y46" s="124">
        <f t="shared" si="10"/>
        <v>996.5</v>
      </c>
      <c r="Z46" s="125"/>
      <c r="AA46" s="125"/>
    </row>
    <row r="47" spans="1:27" s="126" customFormat="1" ht="48" thickBot="1">
      <c r="A47" s="139"/>
      <c r="B47" s="140" t="s">
        <v>78</v>
      </c>
      <c r="C47" s="141"/>
      <c r="D47" s="141"/>
      <c r="E47" s="143">
        <f>SUM(E8:E46)</f>
        <v>4372</v>
      </c>
      <c r="F47" s="143">
        <f aca="true" t="shared" si="11" ref="F47:M47">SUM(F8:F46)</f>
        <v>30</v>
      </c>
      <c r="G47" s="143">
        <f t="shared" si="11"/>
        <v>11</v>
      </c>
      <c r="H47" s="143">
        <f t="shared" si="11"/>
        <v>3</v>
      </c>
      <c r="I47" s="143">
        <f t="shared" si="11"/>
        <v>51</v>
      </c>
      <c r="J47" s="143">
        <f t="shared" si="11"/>
        <v>10</v>
      </c>
      <c r="K47" s="143">
        <f t="shared" si="11"/>
        <v>8</v>
      </c>
      <c r="L47" s="143">
        <f t="shared" si="11"/>
        <v>18</v>
      </c>
      <c r="M47" s="143">
        <f t="shared" si="11"/>
        <v>16</v>
      </c>
      <c r="N47" s="144"/>
      <c r="O47" s="144"/>
      <c r="P47" s="124">
        <f>SUM(P8:P46)</f>
        <v>50386.20000000001</v>
      </c>
      <c r="Q47" s="124">
        <f aca="true" t="shared" si="12" ref="Q47:Y47">SUM(Q8:Q46)</f>
        <v>437.00000000000006</v>
      </c>
      <c r="R47" s="124">
        <f t="shared" si="12"/>
        <v>136.8</v>
      </c>
      <c r="S47" s="124">
        <f t="shared" si="12"/>
        <v>73.1</v>
      </c>
      <c r="T47" s="124">
        <f t="shared" si="12"/>
        <v>721.6</v>
      </c>
      <c r="U47" s="124">
        <f t="shared" si="12"/>
        <v>90.3</v>
      </c>
      <c r="V47" s="124">
        <f t="shared" si="12"/>
        <v>59.199999999999996</v>
      </c>
      <c r="W47" s="124">
        <f t="shared" si="12"/>
        <v>259.90000000000003</v>
      </c>
      <c r="X47" s="124">
        <f t="shared" si="12"/>
        <v>134.7</v>
      </c>
      <c r="Y47" s="124">
        <f t="shared" si="12"/>
        <v>52298.700000000004</v>
      </c>
      <c r="Z47" s="174"/>
      <c r="AA47" s="174"/>
    </row>
    <row r="48" spans="1:27" s="104" customFormat="1" ht="18" customHeight="1">
      <c r="A48" s="145"/>
      <c r="B48" s="146"/>
      <c r="C48" s="146"/>
      <c r="D48" s="146"/>
      <c r="E48" s="146">
        <f>SUM(E47:M47)</f>
        <v>4519</v>
      </c>
      <c r="F48" s="146"/>
      <c r="G48" s="146"/>
      <c r="H48" s="146"/>
      <c r="I48" s="146"/>
      <c r="J48" s="146"/>
      <c r="K48" s="146"/>
      <c r="L48" s="146"/>
      <c r="M48" s="146"/>
      <c r="N48" s="148"/>
      <c r="O48" s="148"/>
      <c r="Y48" s="149">
        <f>SUM(P47:X47)</f>
        <v>52298.80000000001</v>
      </c>
      <c r="Z48" s="105"/>
      <c r="AA48" s="105"/>
    </row>
    <row r="49" spans="1:27" s="104" customFormat="1" ht="15.75">
      <c r="A49" s="150"/>
      <c r="B49" s="151"/>
      <c r="C49" s="151"/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Z49" s="105"/>
      <c r="AA49" s="105"/>
    </row>
    <row r="50" spans="1:27" s="104" customFormat="1" ht="15.75">
      <c r="A50" s="150"/>
      <c r="B50" s="151"/>
      <c r="C50" s="151"/>
      <c r="D50" s="151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Y50" s="167"/>
      <c r="Z50" s="105"/>
      <c r="AA50" s="105"/>
    </row>
    <row r="51" spans="1:27" s="104" customFormat="1" ht="15.75">
      <c r="A51" s="150"/>
      <c r="B51" s="151"/>
      <c r="C51" s="151"/>
      <c r="D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Z51" s="105"/>
      <c r="AA51" s="105"/>
    </row>
    <row r="52" spans="1:27" s="104" customFormat="1" ht="15.75">
      <c r="A52" s="150"/>
      <c r="B52" s="151"/>
      <c r="C52" s="151"/>
      <c r="D52" s="151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Z52" s="105"/>
      <c r="AA52" s="105"/>
    </row>
    <row r="53" spans="1:27" s="104" customFormat="1" ht="15.75">
      <c r="A53" s="150"/>
      <c r="B53" s="153"/>
      <c r="C53" s="153"/>
      <c r="D53" s="153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Z53" s="105"/>
      <c r="AA53" s="105"/>
    </row>
    <row r="54" spans="1:27" s="104" customFormat="1" ht="15.75">
      <c r="A54" s="150"/>
      <c r="B54" s="153"/>
      <c r="C54" s="153"/>
      <c r="D54" s="153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Z54" s="105"/>
      <c r="AA54" s="105"/>
    </row>
    <row r="55" spans="1:27" s="104" customFormat="1" ht="16.5" customHeight="1">
      <c r="A55" s="150"/>
      <c r="B55" s="151"/>
      <c r="C55" s="151"/>
      <c r="D55" s="151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Z55" s="105"/>
      <c r="AA55" s="105"/>
    </row>
    <row r="56" spans="1:27" s="104" customFormat="1" ht="15.75">
      <c r="A56" s="150"/>
      <c r="B56" s="151"/>
      <c r="C56" s="151"/>
      <c r="D56" s="151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Z56" s="105"/>
      <c r="AA56" s="105"/>
    </row>
    <row r="57" spans="1:27" s="104" customFormat="1" ht="15.75">
      <c r="A57" s="150"/>
      <c r="B57" s="151"/>
      <c r="C57" s="151"/>
      <c r="D57" s="151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Z57" s="105"/>
      <c r="AA57" s="105"/>
    </row>
    <row r="58" spans="1:27" s="104" customFormat="1" ht="15.75">
      <c r="A58" s="150"/>
      <c r="B58" s="151"/>
      <c r="C58" s="151"/>
      <c r="D58" s="151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Z58" s="105"/>
      <c r="AA58" s="105"/>
    </row>
    <row r="59" spans="1:27" s="104" customFormat="1" ht="15.75">
      <c r="A59" s="150"/>
      <c r="B59" s="151"/>
      <c r="C59" s="151"/>
      <c r="D59" s="151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Z59" s="105"/>
      <c r="AA59" s="105"/>
    </row>
    <row r="60" spans="1:27" s="104" customFormat="1" ht="15.75">
      <c r="A60" s="150"/>
      <c r="B60" s="151"/>
      <c r="C60" s="151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Z60" s="105"/>
      <c r="AA60" s="105"/>
    </row>
    <row r="61" spans="1:27" s="104" customFormat="1" ht="15.75">
      <c r="A61" s="150"/>
      <c r="B61" s="154"/>
      <c r="C61" s="154"/>
      <c r="D61" s="154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Z61" s="105"/>
      <c r="AA61" s="105"/>
    </row>
    <row r="62" spans="1:27" s="157" customFormat="1" ht="16.5" customHeigh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156"/>
      <c r="O62" s="156"/>
      <c r="Z62" s="158"/>
      <c r="AA62" s="158"/>
    </row>
    <row r="63" spans="1:15" ht="15.75">
      <c r="A63" s="150"/>
      <c r="B63" s="153"/>
      <c r="C63" s="153"/>
      <c r="D63" s="153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</row>
    <row r="64" spans="1:15" ht="15.75">
      <c r="A64" s="150"/>
      <c r="B64" s="153"/>
      <c r="C64" s="153"/>
      <c r="D64" s="153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</row>
    <row r="65" spans="1:15" ht="15.75">
      <c r="A65" s="150"/>
      <c r="B65" s="153"/>
      <c r="C65" s="153"/>
      <c r="D65" s="153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</row>
    <row r="66" spans="1:15" ht="15.75">
      <c r="A66" s="150"/>
      <c r="B66" s="153"/>
      <c r="C66" s="153"/>
      <c r="D66" s="153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</row>
    <row r="67" spans="1:15" ht="18" customHeight="1">
      <c r="A67" s="150"/>
      <c r="B67" s="153"/>
      <c r="C67" s="153"/>
      <c r="D67" s="153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  <row r="68" spans="1:15" ht="15.75">
      <c r="A68" s="150"/>
      <c r="B68" s="153"/>
      <c r="C68" s="153"/>
      <c r="D68" s="153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</row>
    <row r="69" spans="1:15" ht="15.75">
      <c r="A69" s="150"/>
      <c r="B69" s="153"/>
      <c r="C69" s="153"/>
      <c r="D69" s="153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</row>
    <row r="70" spans="1:15" ht="15.75">
      <c r="A70" s="150"/>
      <c r="B70" s="153"/>
      <c r="C70" s="153"/>
      <c r="D70" s="153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</row>
    <row r="71" spans="1:15" ht="15.75">
      <c r="A71" s="150"/>
      <c r="B71" s="153"/>
      <c r="C71" s="153"/>
      <c r="D71" s="153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</row>
    <row r="72" spans="1:15" ht="15.75">
      <c r="A72" s="150"/>
      <c r="B72" s="153"/>
      <c r="C72" s="153"/>
      <c r="D72" s="153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</row>
    <row r="73" spans="1:15" ht="15.75">
      <c r="A73" s="150"/>
      <c r="B73" s="151"/>
      <c r="C73" s="151"/>
      <c r="D73" s="151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</row>
    <row r="74" spans="1:15" ht="15.75">
      <c r="A74" s="150"/>
      <c r="B74" s="151"/>
      <c r="C74" s="151"/>
      <c r="D74" s="151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</row>
    <row r="75" spans="1:15" ht="15.75">
      <c r="A75" s="150"/>
      <c r="B75" s="151"/>
      <c r="C75" s="151"/>
      <c r="D75" s="151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</row>
    <row r="76" spans="1:15" ht="15.75">
      <c r="A76" s="150"/>
      <c r="B76" s="151"/>
      <c r="C76" s="151"/>
      <c r="D76" s="151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</row>
    <row r="77" spans="1:15" ht="15.75">
      <c r="A77" s="150"/>
      <c r="B77" s="151"/>
      <c r="C77" s="151"/>
      <c r="D77" s="151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</row>
    <row r="78" spans="1:15" ht="15.75">
      <c r="A78" s="150"/>
      <c r="B78" s="151"/>
      <c r="C78" s="151"/>
      <c r="D78" s="151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</row>
    <row r="79" spans="1:15" ht="15.75">
      <c r="A79" s="150"/>
      <c r="B79" s="151"/>
      <c r="C79" s="151"/>
      <c r="D79" s="151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</row>
    <row r="80" spans="1:15" ht="15.75">
      <c r="A80" s="150"/>
      <c r="B80" s="151"/>
      <c r="C80" s="151"/>
      <c r="D80" s="151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</row>
    <row r="81" spans="1:15" ht="15.75">
      <c r="A81" s="150"/>
      <c r="B81" s="151"/>
      <c r="C81" s="151"/>
      <c r="D81" s="151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</row>
    <row r="82" spans="1:15" ht="15.75">
      <c r="A82" s="150"/>
      <c r="B82" s="151"/>
      <c r="C82" s="151"/>
      <c r="D82" s="151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</row>
    <row r="83" spans="1:15" ht="15.75">
      <c r="A83" s="150"/>
      <c r="B83" s="151"/>
      <c r="C83" s="151"/>
      <c r="D83" s="151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</row>
    <row r="84" spans="1:15" ht="15.75">
      <c r="A84" s="150"/>
      <c r="B84" s="151"/>
      <c r="C84" s="151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</row>
    <row r="85" spans="1:15" ht="15.75">
      <c r="A85" s="150"/>
      <c r="B85" s="151"/>
      <c r="C85" s="151"/>
      <c r="D85" s="151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</row>
    <row r="86" spans="1:15" ht="15.75">
      <c r="A86" s="150"/>
      <c r="B86" s="151"/>
      <c r="C86" s="151"/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</row>
    <row r="87" spans="1:15" ht="15.75">
      <c r="A87" s="150"/>
      <c r="B87" s="151"/>
      <c r="C87" s="151"/>
      <c r="D87" s="151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</row>
    <row r="88" spans="1:15" ht="15.75">
      <c r="A88" s="150"/>
      <c r="B88" s="151"/>
      <c r="C88" s="151"/>
      <c r="D88" s="151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1:15" ht="15.75">
      <c r="A89" s="150"/>
      <c r="B89" s="151"/>
      <c r="C89" s="151"/>
      <c r="D89" s="151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1:15" ht="15.75">
      <c r="A90" s="150"/>
      <c r="B90" s="151"/>
      <c r="C90" s="151"/>
      <c r="D90" s="151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1:15" ht="15.75">
      <c r="A91" s="150"/>
      <c r="B91" s="151"/>
      <c r="C91" s="151"/>
      <c r="D91" s="151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1:15" ht="15.75">
      <c r="A92" s="150"/>
      <c r="B92" s="151"/>
      <c r="C92" s="151"/>
      <c r="D92" s="151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1:15" ht="15.75">
      <c r="A93" s="150"/>
      <c r="B93" s="151"/>
      <c r="C93" s="151"/>
      <c r="D93" s="151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</row>
    <row r="94" spans="1:15" ht="15.75">
      <c r="A94" s="150"/>
      <c r="B94" s="151"/>
      <c r="C94" s="151"/>
      <c r="D94" s="151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</row>
    <row r="95" spans="1:15" ht="15.75">
      <c r="A95" s="150"/>
      <c r="B95" s="151"/>
      <c r="C95" s="151"/>
      <c r="D95" s="151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  <row r="96" spans="1:15" ht="15.75">
      <c r="A96" s="150"/>
      <c r="B96" s="151"/>
      <c r="C96" s="151"/>
      <c r="D96" s="151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</row>
    <row r="97" spans="1:15" ht="15.75">
      <c r="A97" s="150"/>
      <c r="B97" s="151"/>
      <c r="C97" s="151"/>
      <c r="D97" s="151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</row>
    <row r="98" spans="1:15" ht="15.75">
      <c r="A98" s="150"/>
      <c r="B98" s="151"/>
      <c r="C98" s="151"/>
      <c r="D98" s="151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</row>
    <row r="99" spans="1:15" ht="15.75">
      <c r="A99" s="150"/>
      <c r="B99" s="151"/>
      <c r="C99" s="151"/>
      <c r="D99" s="151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:15" ht="15.75">
      <c r="A100" s="150"/>
      <c r="B100" s="151"/>
      <c r="C100" s="151"/>
      <c r="D100" s="151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</row>
    <row r="101" spans="1:15" ht="15.75">
      <c r="A101" s="150"/>
      <c r="B101" s="151"/>
      <c r="C101" s="151"/>
      <c r="D101" s="151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1:15" ht="15.75">
      <c r="A102" s="150"/>
      <c r="B102" s="151"/>
      <c r="C102" s="151"/>
      <c r="D102" s="151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</row>
    <row r="103" spans="1:15" ht="15.75">
      <c r="A103" s="150"/>
      <c r="B103" s="151"/>
      <c r="C103" s="151"/>
      <c r="D103" s="151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</row>
    <row r="104" spans="1:15" ht="15.75">
      <c r="A104" s="150"/>
      <c r="B104" s="151"/>
      <c r="C104" s="151"/>
      <c r="D104" s="151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1:15" ht="15.75">
      <c r="A105" s="150"/>
      <c r="B105" s="151"/>
      <c r="C105" s="151"/>
      <c r="D105" s="151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1:15" ht="15.75">
      <c r="A106" s="150"/>
      <c r="B106" s="151"/>
      <c r="C106" s="151"/>
      <c r="D106" s="151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1:15" ht="15.75">
      <c r="A107" s="161"/>
      <c r="B107" s="162"/>
      <c r="C107" s="162"/>
      <c r="D107" s="162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</row>
    <row r="108" spans="1:15" ht="18.75">
      <c r="A108" s="163"/>
      <c r="B108" s="163"/>
      <c r="C108" s="163"/>
      <c r="D108" s="163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</row>
    <row r="109" spans="1:15" ht="15.75">
      <c r="A109" s="161"/>
      <c r="B109" s="161"/>
      <c r="C109" s="161"/>
      <c r="D109" s="161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</row>
  </sheetData>
  <sheetProtection/>
  <mergeCells count="18">
    <mergeCell ref="N3:N7"/>
    <mergeCell ref="O3:O7"/>
    <mergeCell ref="Z5:Z7"/>
    <mergeCell ref="Z4:AA4"/>
    <mergeCell ref="AA5:AA7"/>
    <mergeCell ref="P5:X5"/>
    <mergeCell ref="Y5:Y7"/>
    <mergeCell ref="P3:Y4"/>
    <mergeCell ref="R1:S1"/>
    <mergeCell ref="A62:M62"/>
    <mergeCell ref="A1:M1"/>
    <mergeCell ref="E4:M4"/>
    <mergeCell ref="A3:A7"/>
    <mergeCell ref="B3:B5"/>
    <mergeCell ref="C3:C7"/>
    <mergeCell ref="B6:B7"/>
    <mergeCell ref="E3:M3"/>
    <mergeCell ref="D3:D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09"/>
  <sheetViews>
    <sheetView view="pageBreakPreview" zoomScale="69" zoomScaleNormal="74" zoomScaleSheetLayoutView="69" zoomScalePageLayoutView="0" workbookViewId="0" topLeftCell="A1">
      <pane xSplit="2" ySplit="7" topLeftCell="L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5" sqref="U5:U7"/>
    </sheetView>
  </sheetViews>
  <sheetFormatPr defaultColWidth="9.140625" defaultRowHeight="12.75"/>
  <cols>
    <col min="1" max="1" width="9.00390625" style="3" customWidth="1"/>
    <col min="2" max="2" width="24.00390625" style="3" customWidth="1"/>
    <col min="3" max="4" width="13.00390625" style="3" customWidth="1"/>
    <col min="5" max="5" width="22.28125" style="4" customWidth="1"/>
    <col min="6" max="6" width="24.140625" style="4" customWidth="1"/>
    <col min="7" max="8" width="17.7109375" style="4" customWidth="1"/>
    <col min="9" max="9" width="19.421875" style="4" customWidth="1"/>
    <col min="10" max="11" width="18.28125" style="4" customWidth="1"/>
    <col min="12" max="13" width="29.7109375" style="4" customWidth="1"/>
    <col min="14" max="14" width="17.57421875" style="18" customWidth="1"/>
    <col min="15" max="16" width="18.00390625" style="18" customWidth="1"/>
    <col min="17" max="17" width="14.140625" style="18" customWidth="1"/>
    <col min="18" max="18" width="14.57421875" style="18" customWidth="1"/>
    <col min="19" max="19" width="12.421875" style="18" customWidth="1"/>
    <col min="20" max="20" width="13.7109375" style="18" customWidth="1"/>
    <col min="21" max="21" width="15.00390625" style="18" customWidth="1"/>
    <col min="22" max="22" width="16.7109375" style="54" customWidth="1"/>
    <col min="23" max="23" width="14.28125" style="54" customWidth="1"/>
    <col min="24" max="16384" width="9.140625" style="18" customWidth="1"/>
  </cols>
  <sheetData>
    <row r="1" spans="1:23" s="5" customFormat="1" ht="18.7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57"/>
      <c r="M1" s="58"/>
      <c r="N1" s="291" t="s">
        <v>98</v>
      </c>
      <c r="O1" s="291"/>
      <c r="V1" s="52"/>
      <c r="W1" s="52"/>
    </row>
    <row r="2" spans="1:23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V2" s="52"/>
      <c r="W2" s="52"/>
    </row>
    <row r="3" spans="1:23" s="71" customFormat="1" ht="38.25" customHeight="1">
      <c r="A3" s="301" t="s">
        <v>79</v>
      </c>
      <c r="B3" s="304" t="s">
        <v>75</v>
      </c>
      <c r="C3" s="304" t="s">
        <v>76</v>
      </c>
      <c r="D3" s="292" t="s">
        <v>86</v>
      </c>
      <c r="E3" s="299" t="s">
        <v>77</v>
      </c>
      <c r="F3" s="300"/>
      <c r="G3" s="300"/>
      <c r="H3" s="300"/>
      <c r="I3" s="300"/>
      <c r="J3" s="300"/>
      <c r="K3" s="300"/>
      <c r="L3" s="307" t="s">
        <v>83</v>
      </c>
      <c r="M3" s="307" t="s">
        <v>84</v>
      </c>
      <c r="N3" s="308" t="s">
        <v>88</v>
      </c>
      <c r="O3" s="309"/>
      <c r="P3" s="309"/>
      <c r="Q3" s="309"/>
      <c r="R3" s="309"/>
      <c r="S3" s="309"/>
      <c r="T3" s="309"/>
      <c r="U3" s="310"/>
      <c r="V3" s="297"/>
      <c r="W3" s="304"/>
    </row>
    <row r="4" spans="1:23" s="71" customFormat="1" ht="47.25" customHeight="1">
      <c r="A4" s="302"/>
      <c r="B4" s="305"/>
      <c r="C4" s="305"/>
      <c r="D4" s="293"/>
      <c r="E4" s="299" t="s">
        <v>42</v>
      </c>
      <c r="F4" s="300"/>
      <c r="G4" s="300"/>
      <c r="H4" s="300"/>
      <c r="I4" s="300"/>
      <c r="J4" s="300"/>
      <c r="K4" s="300"/>
      <c r="L4" s="307"/>
      <c r="M4" s="307"/>
      <c r="N4" s="311"/>
      <c r="O4" s="312"/>
      <c r="P4" s="312"/>
      <c r="Q4" s="312"/>
      <c r="R4" s="312"/>
      <c r="S4" s="312"/>
      <c r="T4" s="312"/>
      <c r="U4" s="313"/>
      <c r="V4" s="297"/>
      <c r="W4" s="305"/>
    </row>
    <row r="5" spans="1:23" s="71" customFormat="1" ht="65.25" customHeight="1">
      <c r="A5" s="302"/>
      <c r="B5" s="305"/>
      <c r="C5" s="305"/>
      <c r="D5" s="293"/>
      <c r="E5" s="72" t="s">
        <v>55</v>
      </c>
      <c r="F5" s="72" t="s">
        <v>59</v>
      </c>
      <c r="G5" s="72" t="s">
        <v>59</v>
      </c>
      <c r="H5" s="72" t="s">
        <v>55</v>
      </c>
      <c r="I5" s="72" t="s">
        <v>55</v>
      </c>
      <c r="J5" s="72" t="s">
        <v>55</v>
      </c>
      <c r="K5" s="72" t="s">
        <v>43</v>
      </c>
      <c r="L5" s="307"/>
      <c r="M5" s="307"/>
      <c r="N5" s="296" t="s">
        <v>42</v>
      </c>
      <c r="O5" s="296"/>
      <c r="P5" s="296"/>
      <c r="Q5" s="296"/>
      <c r="R5" s="296"/>
      <c r="S5" s="296"/>
      <c r="T5" s="296"/>
      <c r="U5" s="297" t="s">
        <v>63</v>
      </c>
      <c r="V5" s="297"/>
      <c r="W5" s="305"/>
    </row>
    <row r="6" spans="1:23" s="71" customFormat="1" ht="93" customHeight="1">
      <c r="A6" s="302"/>
      <c r="B6" s="297" t="s">
        <v>74</v>
      </c>
      <c r="C6" s="305"/>
      <c r="D6" s="293"/>
      <c r="E6" s="72" t="s">
        <v>45</v>
      </c>
      <c r="F6" s="72" t="s">
        <v>45</v>
      </c>
      <c r="G6" s="72" t="s">
        <v>44</v>
      </c>
      <c r="H6" s="72" t="s">
        <v>44</v>
      </c>
      <c r="I6" s="72" t="s">
        <v>60</v>
      </c>
      <c r="J6" s="72" t="s">
        <v>58</v>
      </c>
      <c r="K6" s="72" t="s">
        <v>60</v>
      </c>
      <c r="L6" s="307"/>
      <c r="M6" s="307"/>
      <c r="N6" s="72" t="s">
        <v>55</v>
      </c>
      <c r="O6" s="72" t="s">
        <v>64</v>
      </c>
      <c r="P6" s="72" t="s">
        <v>59</v>
      </c>
      <c r="Q6" s="72" t="s">
        <v>55</v>
      </c>
      <c r="R6" s="72" t="s">
        <v>55</v>
      </c>
      <c r="S6" s="72" t="s">
        <v>55</v>
      </c>
      <c r="T6" s="72" t="s">
        <v>43</v>
      </c>
      <c r="U6" s="297"/>
      <c r="V6" s="297"/>
      <c r="W6" s="305"/>
    </row>
    <row r="7" spans="1:23" s="71" customFormat="1" ht="88.5" customHeight="1">
      <c r="A7" s="303"/>
      <c r="B7" s="297"/>
      <c r="C7" s="306"/>
      <c r="D7" s="294"/>
      <c r="E7" s="73" t="s">
        <v>73</v>
      </c>
      <c r="F7" s="73" t="s">
        <v>73</v>
      </c>
      <c r="G7" s="73" t="s">
        <v>73</v>
      </c>
      <c r="H7" s="73" t="s">
        <v>73</v>
      </c>
      <c r="I7" s="73" t="s">
        <v>73</v>
      </c>
      <c r="J7" s="73" t="s">
        <v>73</v>
      </c>
      <c r="K7" s="73" t="s">
        <v>73</v>
      </c>
      <c r="L7" s="307"/>
      <c r="M7" s="307"/>
      <c r="N7" s="73" t="s">
        <v>45</v>
      </c>
      <c r="O7" s="73" t="s">
        <v>45</v>
      </c>
      <c r="P7" s="72" t="s">
        <v>44</v>
      </c>
      <c r="Q7" s="72" t="s">
        <v>44</v>
      </c>
      <c r="R7" s="72" t="s">
        <v>60</v>
      </c>
      <c r="S7" s="72" t="s">
        <v>58</v>
      </c>
      <c r="T7" s="72" t="s">
        <v>60</v>
      </c>
      <c r="U7" s="297"/>
      <c r="V7" s="297"/>
      <c r="W7" s="306"/>
    </row>
    <row r="8" spans="1:23" s="35" customFormat="1" ht="15.75">
      <c r="A8" s="37">
        <v>1</v>
      </c>
      <c r="B8" s="38" t="s">
        <v>0</v>
      </c>
      <c r="C8" s="68">
        <v>5</v>
      </c>
      <c r="D8" s="94">
        <v>6153</v>
      </c>
      <c r="E8" s="34">
        <v>7</v>
      </c>
      <c r="F8" s="34">
        <v>9</v>
      </c>
      <c r="G8" s="34"/>
      <c r="H8" s="34"/>
      <c r="I8" s="34"/>
      <c r="J8" s="34"/>
      <c r="K8" s="34"/>
      <c r="L8" s="93">
        <v>3539</v>
      </c>
      <c r="M8" s="70">
        <f aca="true" t="shared" si="0" ref="M8:M17">ROUND(D8/L8,3)</f>
        <v>1.739</v>
      </c>
      <c r="N8" s="45">
        <f>ROUND(E8*L8*M8/1000,1)+2.1</f>
        <v>45.2</v>
      </c>
      <c r="O8" s="45">
        <f>ROUND(F8*L8*M8/1000,1)</f>
        <v>55.4</v>
      </c>
      <c r="P8" s="45">
        <f>ROUND(G8/1000*M8*L8,1)</f>
        <v>0</v>
      </c>
      <c r="Q8" s="45">
        <f>ROUND(H8*L8*M8/1000,1)</f>
        <v>0</v>
      </c>
      <c r="R8" s="45">
        <f>ROUND(I8*L8*M8/1000,1)</f>
        <v>0</v>
      </c>
      <c r="S8" s="45">
        <f>ROUND(J8*L8*M8/1000,1)</f>
        <v>0</v>
      </c>
      <c r="T8" s="45">
        <f>ROUND(K8*L8*M8/1000,1)</f>
        <v>0</v>
      </c>
      <c r="U8" s="45">
        <f>SUM(N8:T8)</f>
        <v>100.6</v>
      </c>
      <c r="V8" s="63"/>
      <c r="W8" s="97"/>
    </row>
    <row r="9" spans="1:23" s="35" customFormat="1" ht="15.75">
      <c r="A9" s="30">
        <v>2</v>
      </c>
      <c r="B9" s="38" t="s">
        <v>62</v>
      </c>
      <c r="C9" s="68">
        <v>6</v>
      </c>
      <c r="D9" s="94">
        <v>5112</v>
      </c>
      <c r="E9" s="32">
        <v>41</v>
      </c>
      <c r="F9" s="32">
        <v>38</v>
      </c>
      <c r="G9" s="32">
        <v>1</v>
      </c>
      <c r="H9" s="32"/>
      <c r="I9" s="32"/>
      <c r="J9" s="32">
        <v>1</v>
      </c>
      <c r="K9" s="32"/>
      <c r="L9" s="93">
        <v>3539</v>
      </c>
      <c r="M9" s="70">
        <f t="shared" si="0"/>
        <v>1.444</v>
      </c>
      <c r="N9" s="45">
        <f>ROUND(E9*L9*M9/1000,1)+1.4</f>
        <v>210.9</v>
      </c>
      <c r="O9" s="45">
        <f aca="true" t="shared" si="1" ref="O9:O46">ROUND(F9*L9*M9/1000,1)</f>
        <v>194.2</v>
      </c>
      <c r="P9" s="45">
        <f aca="true" t="shared" si="2" ref="P9:P46">ROUND(G9/1000*M9*L9,1)</f>
        <v>5.1</v>
      </c>
      <c r="Q9" s="45">
        <f aca="true" t="shared" si="3" ref="Q9:Q46">ROUND(H9*L9*M9/1000,1)</f>
        <v>0</v>
      </c>
      <c r="R9" s="45">
        <f aca="true" t="shared" si="4" ref="R9:R46">ROUND(I9*L9*M9/1000,1)</f>
        <v>0</v>
      </c>
      <c r="S9" s="45">
        <f aca="true" t="shared" si="5" ref="S9:S46">ROUND(J9*L9*M9/1000,1)</f>
        <v>5.1</v>
      </c>
      <c r="T9" s="45">
        <f aca="true" t="shared" si="6" ref="T9:T46">ROUND(K9*L9*M9/1000,1)</f>
        <v>0</v>
      </c>
      <c r="U9" s="45">
        <f>SUM(N9:T9)</f>
        <v>415.30000000000007</v>
      </c>
      <c r="V9" s="63"/>
      <c r="W9" s="97"/>
    </row>
    <row r="10" spans="1:23" s="35" customFormat="1" ht="15.75">
      <c r="A10" s="30">
        <v>3</v>
      </c>
      <c r="B10" s="38" t="s">
        <v>1</v>
      </c>
      <c r="C10" s="68">
        <v>6</v>
      </c>
      <c r="D10" s="94">
        <v>3551</v>
      </c>
      <c r="E10" s="32">
        <v>36</v>
      </c>
      <c r="F10" s="32"/>
      <c r="G10" s="32"/>
      <c r="H10" s="32"/>
      <c r="I10" s="32"/>
      <c r="J10" s="32"/>
      <c r="K10" s="32"/>
      <c r="L10" s="93">
        <v>3539</v>
      </c>
      <c r="M10" s="70">
        <f t="shared" si="0"/>
        <v>1.003</v>
      </c>
      <c r="N10" s="45">
        <f>ROUND(E10*L10*M10/1000,1)+4.2</f>
        <v>132</v>
      </c>
      <c r="O10" s="45">
        <f t="shared" si="1"/>
        <v>0</v>
      </c>
      <c r="P10" s="45">
        <f t="shared" si="2"/>
        <v>0</v>
      </c>
      <c r="Q10" s="45">
        <f t="shared" si="3"/>
        <v>0</v>
      </c>
      <c r="R10" s="45">
        <f t="shared" si="4"/>
        <v>0</v>
      </c>
      <c r="S10" s="45">
        <f t="shared" si="5"/>
        <v>0</v>
      </c>
      <c r="T10" s="45">
        <f t="shared" si="6"/>
        <v>0</v>
      </c>
      <c r="U10" s="45">
        <f>SUM(N10:T10)-0.3</f>
        <v>131.7</v>
      </c>
      <c r="V10" s="63"/>
      <c r="W10" s="97"/>
    </row>
    <row r="11" spans="1:23" s="35" customFormat="1" ht="15.75">
      <c r="A11" s="37">
        <v>4</v>
      </c>
      <c r="B11" s="38" t="s">
        <v>2</v>
      </c>
      <c r="C11" s="68">
        <v>5</v>
      </c>
      <c r="D11" s="94">
        <v>7114</v>
      </c>
      <c r="E11" s="55">
        <v>23</v>
      </c>
      <c r="F11" s="55"/>
      <c r="G11" s="55"/>
      <c r="H11" s="55"/>
      <c r="I11" s="55"/>
      <c r="J11" s="55"/>
      <c r="K11" s="55"/>
      <c r="L11" s="93">
        <v>3539</v>
      </c>
      <c r="M11" s="70">
        <f t="shared" si="0"/>
        <v>2.01</v>
      </c>
      <c r="N11" s="45">
        <f>ROUND(E11*L11*M11/1000,1)+0.5</f>
        <v>164.1</v>
      </c>
      <c r="O11" s="45">
        <f t="shared" si="1"/>
        <v>0</v>
      </c>
      <c r="P11" s="45">
        <f t="shared" si="2"/>
        <v>0</v>
      </c>
      <c r="Q11" s="45">
        <f t="shared" si="3"/>
        <v>0</v>
      </c>
      <c r="R11" s="45">
        <f t="shared" si="4"/>
        <v>0</v>
      </c>
      <c r="S11" s="45">
        <f t="shared" si="5"/>
        <v>0</v>
      </c>
      <c r="T11" s="45">
        <f t="shared" si="6"/>
        <v>0</v>
      </c>
      <c r="U11" s="45">
        <f>SUM(N11:T11)+1.1</f>
        <v>165.2</v>
      </c>
      <c r="V11" s="63"/>
      <c r="W11" s="97"/>
    </row>
    <row r="12" spans="1:23" s="35" customFormat="1" ht="15.75">
      <c r="A12" s="30">
        <v>5</v>
      </c>
      <c r="B12" s="38" t="s">
        <v>61</v>
      </c>
      <c r="C12" s="68">
        <v>5</v>
      </c>
      <c r="D12" s="94">
        <v>7981</v>
      </c>
      <c r="E12" s="32"/>
      <c r="F12" s="32"/>
      <c r="G12" s="32"/>
      <c r="H12" s="32"/>
      <c r="I12" s="32"/>
      <c r="J12" s="32"/>
      <c r="K12" s="32"/>
      <c r="L12" s="93">
        <v>3539</v>
      </c>
      <c r="M12" s="70">
        <f t="shared" si="0"/>
        <v>2.255</v>
      </c>
      <c r="N12" s="45">
        <f>ROUND(E12*L12*M12/1000,1)</f>
        <v>0</v>
      </c>
      <c r="O12" s="45">
        <f t="shared" si="1"/>
        <v>0</v>
      </c>
      <c r="P12" s="45">
        <f t="shared" si="2"/>
        <v>0</v>
      </c>
      <c r="Q12" s="45">
        <f t="shared" si="3"/>
        <v>0</v>
      </c>
      <c r="R12" s="45">
        <f t="shared" si="4"/>
        <v>0</v>
      </c>
      <c r="S12" s="45">
        <f t="shared" si="5"/>
        <v>0</v>
      </c>
      <c r="T12" s="45">
        <f t="shared" si="6"/>
        <v>0</v>
      </c>
      <c r="U12" s="45">
        <f>SUM(N12:T12)</f>
        <v>0</v>
      </c>
      <c r="V12" s="63"/>
      <c r="W12" s="97"/>
    </row>
    <row r="13" spans="1:23" s="35" customFormat="1" ht="15.75">
      <c r="A13" s="30">
        <v>6</v>
      </c>
      <c r="B13" s="38" t="s">
        <v>3</v>
      </c>
      <c r="C13" s="68">
        <v>5</v>
      </c>
      <c r="D13" s="94">
        <v>4488</v>
      </c>
      <c r="E13" s="32">
        <v>36</v>
      </c>
      <c r="F13" s="32"/>
      <c r="G13" s="32"/>
      <c r="H13" s="32"/>
      <c r="I13" s="32">
        <v>1</v>
      </c>
      <c r="J13" s="32">
        <v>1</v>
      </c>
      <c r="K13" s="32">
        <v>1</v>
      </c>
      <c r="L13" s="93">
        <v>3539</v>
      </c>
      <c r="M13" s="70">
        <f t="shared" si="0"/>
        <v>1.268</v>
      </c>
      <c r="N13" s="45">
        <f>ROUND(E13*L13*M13/1000,1)+3.4</f>
        <v>164.9</v>
      </c>
      <c r="O13" s="45">
        <f t="shared" si="1"/>
        <v>0</v>
      </c>
      <c r="P13" s="45">
        <f t="shared" si="2"/>
        <v>0</v>
      </c>
      <c r="Q13" s="45">
        <f t="shared" si="3"/>
        <v>0</v>
      </c>
      <c r="R13" s="45">
        <f t="shared" si="4"/>
        <v>4.5</v>
      </c>
      <c r="S13" s="45">
        <f t="shared" si="5"/>
        <v>4.5</v>
      </c>
      <c r="T13" s="45">
        <f t="shared" si="6"/>
        <v>4.5</v>
      </c>
      <c r="U13" s="45">
        <f>SUM(N13:T13)-1.2</f>
        <v>177.20000000000002</v>
      </c>
      <c r="V13" s="63"/>
      <c r="W13" s="97"/>
    </row>
    <row r="14" spans="1:23" s="35" customFormat="1" ht="15.75" customHeight="1">
      <c r="A14" s="37">
        <v>7</v>
      </c>
      <c r="B14" s="38" t="s">
        <v>4</v>
      </c>
      <c r="C14" s="68">
        <v>5</v>
      </c>
      <c r="D14" s="94">
        <v>3779</v>
      </c>
      <c r="E14" s="32">
        <v>44</v>
      </c>
      <c r="F14" s="32">
        <v>38</v>
      </c>
      <c r="G14" s="32"/>
      <c r="H14" s="32"/>
      <c r="I14" s="32"/>
      <c r="J14" s="32"/>
      <c r="K14" s="32"/>
      <c r="L14" s="93">
        <v>3539</v>
      </c>
      <c r="M14" s="70">
        <f t="shared" si="0"/>
        <v>1.068</v>
      </c>
      <c r="N14" s="45">
        <f>ROUND(E14*L14*M14/1000,1)+2.9</f>
        <v>169.20000000000002</v>
      </c>
      <c r="O14" s="45">
        <f t="shared" si="1"/>
        <v>143.6</v>
      </c>
      <c r="P14" s="45">
        <f t="shared" si="2"/>
        <v>0</v>
      </c>
      <c r="Q14" s="45">
        <f t="shared" si="3"/>
        <v>0</v>
      </c>
      <c r="R14" s="45">
        <f t="shared" si="4"/>
        <v>0</v>
      </c>
      <c r="S14" s="45">
        <f t="shared" si="5"/>
        <v>0</v>
      </c>
      <c r="T14" s="45">
        <f t="shared" si="6"/>
        <v>0</v>
      </c>
      <c r="U14" s="45">
        <f>SUM(N14:T14)+0.7</f>
        <v>313.5</v>
      </c>
      <c r="V14" s="63"/>
      <c r="W14" s="97"/>
    </row>
    <row r="15" spans="1:23" s="40" customFormat="1" ht="15.75">
      <c r="A15" s="30">
        <v>8</v>
      </c>
      <c r="B15" s="39" t="s">
        <v>5</v>
      </c>
      <c r="C15" s="68">
        <v>5</v>
      </c>
      <c r="D15" s="94">
        <v>4686</v>
      </c>
      <c r="E15" s="32">
        <v>39</v>
      </c>
      <c r="F15" s="32">
        <v>38</v>
      </c>
      <c r="G15" s="32">
        <v>2</v>
      </c>
      <c r="H15" s="32">
        <v>1</v>
      </c>
      <c r="I15" s="32"/>
      <c r="J15" s="32"/>
      <c r="K15" s="32"/>
      <c r="L15" s="93">
        <v>3539</v>
      </c>
      <c r="M15" s="70">
        <f t="shared" si="0"/>
        <v>1.324</v>
      </c>
      <c r="N15" s="45">
        <f>ROUND(E15*L15*M15/1000,1)-0.8+3</f>
        <v>184.89999999999998</v>
      </c>
      <c r="O15" s="45">
        <f t="shared" si="1"/>
        <v>178.1</v>
      </c>
      <c r="P15" s="45">
        <f t="shared" si="2"/>
        <v>9.4</v>
      </c>
      <c r="Q15" s="45">
        <f t="shared" si="3"/>
        <v>4.7</v>
      </c>
      <c r="R15" s="45">
        <f t="shared" si="4"/>
        <v>0</v>
      </c>
      <c r="S15" s="45">
        <f t="shared" si="5"/>
        <v>0</v>
      </c>
      <c r="T15" s="45">
        <f t="shared" si="6"/>
        <v>0</v>
      </c>
      <c r="U15" s="45">
        <f>SUM(N15:T15)+0.7</f>
        <v>377.79999999999995</v>
      </c>
      <c r="V15" s="63"/>
      <c r="W15" s="97"/>
    </row>
    <row r="16" spans="1:23" s="35" customFormat="1" ht="15.75">
      <c r="A16" s="30">
        <v>9</v>
      </c>
      <c r="B16" s="38" t="s">
        <v>6</v>
      </c>
      <c r="C16" s="68">
        <v>5</v>
      </c>
      <c r="D16" s="94">
        <v>30811</v>
      </c>
      <c r="E16" s="32"/>
      <c r="F16" s="32"/>
      <c r="G16" s="32"/>
      <c r="H16" s="32"/>
      <c r="I16" s="32"/>
      <c r="J16" s="32"/>
      <c r="K16" s="32"/>
      <c r="L16" s="93">
        <v>3539</v>
      </c>
      <c r="M16" s="70">
        <f t="shared" si="0"/>
        <v>8.706</v>
      </c>
      <c r="N16" s="45">
        <f>ROUND(E16*L16*M16/1000,1)</f>
        <v>0</v>
      </c>
      <c r="O16" s="45">
        <f t="shared" si="1"/>
        <v>0</v>
      </c>
      <c r="P16" s="45">
        <f t="shared" si="2"/>
        <v>0</v>
      </c>
      <c r="Q16" s="45">
        <f t="shared" si="3"/>
        <v>0</v>
      </c>
      <c r="R16" s="45">
        <f t="shared" si="4"/>
        <v>0</v>
      </c>
      <c r="S16" s="45">
        <f t="shared" si="5"/>
        <v>0</v>
      </c>
      <c r="T16" s="45">
        <f t="shared" si="6"/>
        <v>0</v>
      </c>
      <c r="U16" s="45">
        <f>SUM(N16:T16)</f>
        <v>0</v>
      </c>
      <c r="V16" s="63"/>
      <c r="W16" s="97"/>
    </row>
    <row r="17" spans="1:23" s="35" customFormat="1" ht="15.75">
      <c r="A17" s="37">
        <v>10</v>
      </c>
      <c r="B17" s="31" t="s">
        <v>7</v>
      </c>
      <c r="C17" s="68">
        <v>5</v>
      </c>
      <c r="D17" s="94">
        <v>17704</v>
      </c>
      <c r="E17" s="32">
        <v>6</v>
      </c>
      <c r="F17" s="32">
        <v>3</v>
      </c>
      <c r="G17" s="32"/>
      <c r="H17" s="32"/>
      <c r="I17" s="32"/>
      <c r="J17" s="32"/>
      <c r="K17" s="32"/>
      <c r="L17" s="93">
        <v>3539</v>
      </c>
      <c r="M17" s="70">
        <f t="shared" si="0"/>
        <v>5.003</v>
      </c>
      <c r="N17" s="45">
        <f>ROUND(E17*L17*M17/1000,1)+3.1</f>
        <v>109.3</v>
      </c>
      <c r="O17" s="45">
        <f t="shared" si="1"/>
        <v>53.1</v>
      </c>
      <c r="P17" s="45">
        <f t="shared" si="2"/>
        <v>0</v>
      </c>
      <c r="Q17" s="45">
        <f t="shared" si="3"/>
        <v>0</v>
      </c>
      <c r="R17" s="45">
        <f t="shared" si="4"/>
        <v>0</v>
      </c>
      <c r="S17" s="45">
        <f t="shared" si="5"/>
        <v>0</v>
      </c>
      <c r="T17" s="45">
        <f t="shared" si="6"/>
        <v>0</v>
      </c>
      <c r="U17" s="45">
        <f>SUM(N17:T17)-0.4</f>
        <v>162</v>
      </c>
      <c r="V17" s="63"/>
      <c r="W17" s="97"/>
    </row>
    <row r="18" spans="1:23" s="35" customFormat="1" ht="15.75">
      <c r="A18" s="30">
        <v>11</v>
      </c>
      <c r="B18" s="31" t="s">
        <v>8</v>
      </c>
      <c r="C18" s="68">
        <v>5</v>
      </c>
      <c r="D18" s="94">
        <v>12715</v>
      </c>
      <c r="E18" s="32">
        <v>11</v>
      </c>
      <c r="F18" s="32"/>
      <c r="G18" s="32"/>
      <c r="H18" s="32"/>
      <c r="I18" s="32"/>
      <c r="J18" s="32"/>
      <c r="K18" s="32"/>
      <c r="L18" s="93">
        <v>3539</v>
      </c>
      <c r="M18" s="70">
        <f aca="true" t="shared" si="7" ref="M18:M46">ROUND(D18/L18,3)</f>
        <v>3.593</v>
      </c>
      <c r="N18" s="45">
        <f>ROUND(E18*L18*M18/1000,1)+2.5</f>
        <v>142.4</v>
      </c>
      <c r="O18" s="45">
        <f t="shared" si="1"/>
        <v>0</v>
      </c>
      <c r="P18" s="45">
        <f t="shared" si="2"/>
        <v>0</v>
      </c>
      <c r="Q18" s="45">
        <f t="shared" si="3"/>
        <v>0</v>
      </c>
      <c r="R18" s="45">
        <f t="shared" si="4"/>
        <v>0</v>
      </c>
      <c r="S18" s="45">
        <f t="shared" si="5"/>
        <v>0</v>
      </c>
      <c r="T18" s="45">
        <f t="shared" si="6"/>
        <v>0</v>
      </c>
      <c r="U18" s="45">
        <f>SUM(N18:T18)-0.1</f>
        <v>142.3</v>
      </c>
      <c r="V18" s="63"/>
      <c r="W18" s="97"/>
    </row>
    <row r="19" spans="1:23" s="35" customFormat="1" ht="15.75">
      <c r="A19" s="30">
        <v>12</v>
      </c>
      <c r="B19" s="31" t="s">
        <v>9</v>
      </c>
      <c r="C19" s="68">
        <v>5</v>
      </c>
      <c r="D19" s="94">
        <v>13621</v>
      </c>
      <c r="E19" s="32">
        <v>14</v>
      </c>
      <c r="F19" s="32"/>
      <c r="G19" s="32"/>
      <c r="H19" s="32"/>
      <c r="I19" s="32"/>
      <c r="J19" s="32"/>
      <c r="K19" s="32"/>
      <c r="L19" s="93">
        <v>3539</v>
      </c>
      <c r="M19" s="70">
        <f t="shared" si="7"/>
        <v>3.849</v>
      </c>
      <c r="N19" s="45">
        <f>ROUND(E19*L19*M19/1000,1)+3.4</f>
        <v>194.1</v>
      </c>
      <c r="O19" s="45">
        <f t="shared" si="1"/>
        <v>0</v>
      </c>
      <c r="P19" s="45">
        <f t="shared" si="2"/>
        <v>0</v>
      </c>
      <c r="Q19" s="45">
        <f t="shared" si="3"/>
        <v>0</v>
      </c>
      <c r="R19" s="45">
        <f t="shared" si="4"/>
        <v>0</v>
      </c>
      <c r="S19" s="45">
        <f t="shared" si="5"/>
        <v>0</v>
      </c>
      <c r="T19" s="45">
        <f t="shared" si="6"/>
        <v>0</v>
      </c>
      <c r="U19" s="45">
        <f>SUM(N19:T19)+0.1</f>
        <v>194.2</v>
      </c>
      <c r="V19" s="63"/>
      <c r="W19" s="97"/>
    </row>
    <row r="20" spans="1:23" s="35" customFormat="1" ht="15.75">
      <c r="A20" s="37">
        <v>13</v>
      </c>
      <c r="B20" s="31" t="s">
        <v>10</v>
      </c>
      <c r="C20" s="68">
        <v>5</v>
      </c>
      <c r="D20" s="94">
        <v>6481</v>
      </c>
      <c r="E20" s="32">
        <v>31</v>
      </c>
      <c r="F20" s="32"/>
      <c r="G20" s="32"/>
      <c r="H20" s="32"/>
      <c r="I20" s="32">
        <v>3</v>
      </c>
      <c r="J20" s="32"/>
      <c r="K20" s="32"/>
      <c r="L20" s="93">
        <v>3539</v>
      </c>
      <c r="M20" s="70">
        <f t="shared" si="7"/>
        <v>1.831</v>
      </c>
      <c r="N20" s="45">
        <f>ROUND(E20*L20*M20/1000,1)+3.4</f>
        <v>204.3</v>
      </c>
      <c r="O20" s="45">
        <f t="shared" si="1"/>
        <v>0</v>
      </c>
      <c r="P20" s="45">
        <f t="shared" si="2"/>
        <v>0</v>
      </c>
      <c r="Q20" s="45">
        <f t="shared" si="3"/>
        <v>0</v>
      </c>
      <c r="R20" s="45">
        <f t="shared" si="4"/>
        <v>19.4</v>
      </c>
      <c r="S20" s="45">
        <f t="shared" si="5"/>
        <v>0</v>
      </c>
      <c r="T20" s="45">
        <f t="shared" si="6"/>
        <v>0</v>
      </c>
      <c r="U20" s="45">
        <f>SUM(N20:T20)-0.7</f>
        <v>223.00000000000003</v>
      </c>
      <c r="V20" s="63"/>
      <c r="W20" s="97"/>
    </row>
    <row r="21" spans="1:23" s="35" customFormat="1" ht="19.5" customHeight="1">
      <c r="A21" s="30">
        <v>14</v>
      </c>
      <c r="B21" s="31" t="s">
        <v>11</v>
      </c>
      <c r="C21" s="68">
        <v>5</v>
      </c>
      <c r="D21" s="94">
        <v>26132</v>
      </c>
      <c r="E21" s="32"/>
      <c r="F21" s="32"/>
      <c r="G21" s="32"/>
      <c r="H21" s="32"/>
      <c r="I21" s="32"/>
      <c r="J21" s="32"/>
      <c r="K21" s="32"/>
      <c r="L21" s="93">
        <v>3539</v>
      </c>
      <c r="M21" s="70">
        <f t="shared" si="7"/>
        <v>7.384</v>
      </c>
      <c r="N21" s="45">
        <f>ROUND(E21*L21*M21/1000,1)</f>
        <v>0</v>
      </c>
      <c r="O21" s="45">
        <f t="shared" si="1"/>
        <v>0</v>
      </c>
      <c r="P21" s="45">
        <f t="shared" si="2"/>
        <v>0</v>
      </c>
      <c r="Q21" s="45">
        <f t="shared" si="3"/>
        <v>0</v>
      </c>
      <c r="R21" s="45">
        <f t="shared" si="4"/>
        <v>0</v>
      </c>
      <c r="S21" s="45">
        <f t="shared" si="5"/>
        <v>0</v>
      </c>
      <c r="T21" s="45">
        <f t="shared" si="6"/>
        <v>0</v>
      </c>
      <c r="U21" s="45">
        <f>SUM(N21:T21)</f>
        <v>0</v>
      </c>
      <c r="V21" s="63"/>
      <c r="W21" s="97"/>
    </row>
    <row r="22" spans="1:23" s="35" customFormat="1" ht="15.75">
      <c r="A22" s="30">
        <v>15</v>
      </c>
      <c r="B22" s="31" t="s">
        <v>12</v>
      </c>
      <c r="C22" s="68">
        <v>5</v>
      </c>
      <c r="D22" s="94">
        <v>9518</v>
      </c>
      <c r="E22" s="32">
        <v>30</v>
      </c>
      <c r="F22" s="32"/>
      <c r="G22" s="32"/>
      <c r="H22" s="32"/>
      <c r="I22" s="32"/>
      <c r="J22" s="32"/>
      <c r="K22" s="32"/>
      <c r="L22" s="93">
        <v>3539</v>
      </c>
      <c r="M22" s="70">
        <f t="shared" si="7"/>
        <v>2.689</v>
      </c>
      <c r="N22" s="45">
        <f>ROUND(E22*L22*M22/1000,1)+2.9</f>
        <v>288.4</v>
      </c>
      <c r="O22" s="45">
        <f t="shared" si="1"/>
        <v>0</v>
      </c>
      <c r="P22" s="45">
        <f t="shared" si="2"/>
        <v>0</v>
      </c>
      <c r="Q22" s="45">
        <f t="shared" si="3"/>
        <v>0</v>
      </c>
      <c r="R22" s="45">
        <f t="shared" si="4"/>
        <v>0</v>
      </c>
      <c r="S22" s="45">
        <f t="shared" si="5"/>
        <v>0</v>
      </c>
      <c r="T22" s="45">
        <f t="shared" si="6"/>
        <v>0</v>
      </c>
      <c r="U22" s="45">
        <f>SUM(N22:T22)+0.2</f>
        <v>288.59999999999997</v>
      </c>
      <c r="V22" s="63"/>
      <c r="W22" s="97"/>
    </row>
    <row r="23" spans="1:23" s="35" customFormat="1" ht="15.75" customHeight="1">
      <c r="A23" s="37">
        <v>16</v>
      </c>
      <c r="B23" s="31" t="s">
        <v>13</v>
      </c>
      <c r="C23" s="68">
        <v>5</v>
      </c>
      <c r="D23" s="94">
        <v>21847</v>
      </c>
      <c r="E23" s="32"/>
      <c r="F23" s="32">
        <v>13</v>
      </c>
      <c r="G23" s="32"/>
      <c r="H23" s="32"/>
      <c r="I23" s="32"/>
      <c r="J23" s="32"/>
      <c r="K23" s="32"/>
      <c r="L23" s="93">
        <v>3539</v>
      </c>
      <c r="M23" s="70">
        <f t="shared" si="7"/>
        <v>6.173</v>
      </c>
      <c r="N23" s="45">
        <f>ROUND(E23*L23*M23/1000,1)</f>
        <v>0</v>
      </c>
      <c r="O23" s="45">
        <f>ROUND(F23*L23*M23/1000,1)+2.8</f>
        <v>286.8</v>
      </c>
      <c r="P23" s="45">
        <f t="shared" si="2"/>
        <v>0</v>
      </c>
      <c r="Q23" s="45">
        <f t="shared" si="3"/>
        <v>0</v>
      </c>
      <c r="R23" s="45">
        <f t="shared" si="4"/>
        <v>0</v>
      </c>
      <c r="S23" s="45">
        <f t="shared" si="5"/>
        <v>0</v>
      </c>
      <c r="T23" s="45">
        <f t="shared" si="6"/>
        <v>0</v>
      </c>
      <c r="U23" s="45">
        <f>SUM(N23:T23)-0.1</f>
        <v>286.7</v>
      </c>
      <c r="V23" s="63"/>
      <c r="W23" s="97"/>
    </row>
    <row r="24" spans="1:23" s="35" customFormat="1" ht="19.5" customHeight="1">
      <c r="A24" s="30">
        <v>17</v>
      </c>
      <c r="B24" s="31" t="s">
        <v>14</v>
      </c>
      <c r="C24" s="68">
        <v>5</v>
      </c>
      <c r="D24" s="94">
        <v>55000</v>
      </c>
      <c r="E24" s="32"/>
      <c r="F24" s="32"/>
      <c r="G24" s="32"/>
      <c r="H24" s="32"/>
      <c r="I24" s="32"/>
      <c r="J24" s="32"/>
      <c r="K24" s="32"/>
      <c r="L24" s="93">
        <v>3539</v>
      </c>
      <c r="M24" s="70">
        <f t="shared" si="7"/>
        <v>15.541</v>
      </c>
      <c r="N24" s="45">
        <f>ROUND(E24*L24*M24/1000,1)</f>
        <v>0</v>
      </c>
      <c r="O24" s="45">
        <f t="shared" si="1"/>
        <v>0</v>
      </c>
      <c r="P24" s="45">
        <f t="shared" si="2"/>
        <v>0</v>
      </c>
      <c r="Q24" s="45">
        <f t="shared" si="3"/>
        <v>0</v>
      </c>
      <c r="R24" s="45">
        <f t="shared" si="4"/>
        <v>0</v>
      </c>
      <c r="S24" s="45">
        <f t="shared" si="5"/>
        <v>0</v>
      </c>
      <c r="T24" s="45">
        <f t="shared" si="6"/>
        <v>0</v>
      </c>
      <c r="U24" s="45">
        <f>SUM(N24:T24)</f>
        <v>0</v>
      </c>
      <c r="V24" s="63"/>
      <c r="W24" s="97"/>
    </row>
    <row r="25" spans="1:23" s="35" customFormat="1" ht="15.75">
      <c r="A25" s="30">
        <v>18</v>
      </c>
      <c r="B25" s="31" t="s">
        <v>15</v>
      </c>
      <c r="C25" s="68">
        <v>5</v>
      </c>
      <c r="D25" s="94">
        <v>19027</v>
      </c>
      <c r="E25" s="32"/>
      <c r="F25" s="32"/>
      <c r="G25" s="32"/>
      <c r="H25" s="32"/>
      <c r="I25" s="32"/>
      <c r="J25" s="32"/>
      <c r="K25" s="32"/>
      <c r="L25" s="93">
        <v>3539</v>
      </c>
      <c r="M25" s="70">
        <f t="shared" si="7"/>
        <v>5.376</v>
      </c>
      <c r="N25" s="45">
        <f>ROUND(E25*L25*M25/1000,1)</f>
        <v>0</v>
      </c>
      <c r="O25" s="45">
        <f t="shared" si="1"/>
        <v>0</v>
      </c>
      <c r="P25" s="45">
        <f t="shared" si="2"/>
        <v>0</v>
      </c>
      <c r="Q25" s="45">
        <f t="shared" si="3"/>
        <v>0</v>
      </c>
      <c r="R25" s="45">
        <f t="shared" si="4"/>
        <v>0</v>
      </c>
      <c r="S25" s="45">
        <f t="shared" si="5"/>
        <v>0</v>
      </c>
      <c r="T25" s="45">
        <f t="shared" si="6"/>
        <v>0</v>
      </c>
      <c r="U25" s="45">
        <f>SUM(N25:T25)</f>
        <v>0</v>
      </c>
      <c r="V25" s="63"/>
      <c r="W25" s="97"/>
    </row>
    <row r="26" spans="1:23" s="35" customFormat="1" ht="21" customHeight="1">
      <c r="A26" s="37">
        <v>19</v>
      </c>
      <c r="B26" s="31" t="s">
        <v>16</v>
      </c>
      <c r="C26" s="68">
        <v>5</v>
      </c>
      <c r="D26" s="94">
        <v>14016</v>
      </c>
      <c r="E26" s="32">
        <v>15</v>
      </c>
      <c r="F26" s="32"/>
      <c r="G26" s="32"/>
      <c r="H26" s="32"/>
      <c r="I26" s="32"/>
      <c r="J26" s="32"/>
      <c r="K26" s="32"/>
      <c r="L26" s="93">
        <v>3539</v>
      </c>
      <c r="M26" s="70">
        <f t="shared" si="7"/>
        <v>3.96</v>
      </c>
      <c r="N26" s="45">
        <f>ROUND(E26*L26*M26/1000,1)+3.3</f>
        <v>213.5</v>
      </c>
      <c r="O26" s="45">
        <f t="shared" si="1"/>
        <v>0</v>
      </c>
      <c r="P26" s="45">
        <f t="shared" si="2"/>
        <v>0</v>
      </c>
      <c r="Q26" s="45">
        <f t="shared" si="3"/>
        <v>0</v>
      </c>
      <c r="R26" s="45">
        <f t="shared" si="4"/>
        <v>0</v>
      </c>
      <c r="S26" s="45">
        <f t="shared" si="5"/>
        <v>0</v>
      </c>
      <c r="T26" s="45">
        <f t="shared" si="6"/>
        <v>0</v>
      </c>
      <c r="U26" s="45">
        <f>SUM(N26:T26)-0.6</f>
        <v>212.9</v>
      </c>
      <c r="V26" s="63"/>
      <c r="W26" s="97"/>
    </row>
    <row r="27" spans="1:23" s="35" customFormat="1" ht="15.75">
      <c r="A27" s="30">
        <v>20</v>
      </c>
      <c r="B27" s="31" t="s">
        <v>17</v>
      </c>
      <c r="C27" s="68">
        <v>5</v>
      </c>
      <c r="D27" s="94">
        <v>6784</v>
      </c>
      <c r="E27" s="32"/>
      <c r="F27" s="32">
        <v>27</v>
      </c>
      <c r="G27" s="32"/>
      <c r="H27" s="32"/>
      <c r="I27" s="32"/>
      <c r="J27" s="32"/>
      <c r="K27" s="32"/>
      <c r="L27" s="93">
        <v>3539</v>
      </c>
      <c r="M27" s="70">
        <f t="shared" si="7"/>
        <v>1.917</v>
      </c>
      <c r="N27" s="45">
        <f>ROUND(E27*L27*M27/1000,1)</f>
        <v>0</v>
      </c>
      <c r="O27" s="45">
        <f>ROUND(F27*L27*M27/1000,1)+3</f>
        <v>186.2</v>
      </c>
      <c r="P27" s="45">
        <f t="shared" si="2"/>
        <v>0</v>
      </c>
      <c r="Q27" s="45">
        <f t="shared" si="3"/>
        <v>0</v>
      </c>
      <c r="R27" s="45">
        <f t="shared" si="4"/>
        <v>0</v>
      </c>
      <c r="S27" s="45">
        <f t="shared" si="5"/>
        <v>0</v>
      </c>
      <c r="T27" s="45">
        <f t="shared" si="6"/>
        <v>0</v>
      </c>
      <c r="U27" s="45">
        <f>SUM(N27:T27)-0.7</f>
        <v>185.5</v>
      </c>
      <c r="V27" s="63"/>
      <c r="W27" s="97"/>
    </row>
    <row r="28" spans="1:23" s="35" customFormat="1" ht="15.75">
      <c r="A28" s="30">
        <v>21</v>
      </c>
      <c r="B28" s="31" t="s">
        <v>18</v>
      </c>
      <c r="C28" s="68">
        <v>5</v>
      </c>
      <c r="D28" s="92">
        <v>33373</v>
      </c>
      <c r="E28" s="50"/>
      <c r="F28" s="32"/>
      <c r="G28" s="32"/>
      <c r="H28" s="32"/>
      <c r="I28" s="32"/>
      <c r="J28" s="32"/>
      <c r="K28" s="32"/>
      <c r="L28" s="93">
        <v>3539</v>
      </c>
      <c r="M28" s="70">
        <f t="shared" si="7"/>
        <v>9.43</v>
      </c>
      <c r="N28" s="45">
        <f>ROUND(E28*L28*M28/1000,1)</f>
        <v>0</v>
      </c>
      <c r="O28" s="45">
        <f t="shared" si="1"/>
        <v>0</v>
      </c>
      <c r="P28" s="45">
        <f t="shared" si="2"/>
        <v>0</v>
      </c>
      <c r="Q28" s="45">
        <f t="shared" si="3"/>
        <v>0</v>
      </c>
      <c r="R28" s="45">
        <f t="shared" si="4"/>
        <v>0</v>
      </c>
      <c r="S28" s="45">
        <f t="shared" si="5"/>
        <v>0</v>
      </c>
      <c r="T28" s="45">
        <f t="shared" si="6"/>
        <v>0</v>
      </c>
      <c r="U28" s="45">
        <f>SUM(N28:T28)</f>
        <v>0</v>
      </c>
      <c r="V28" s="63"/>
      <c r="W28" s="97"/>
    </row>
    <row r="29" spans="1:23" s="35" customFormat="1" ht="20.25" customHeight="1">
      <c r="A29" s="37">
        <v>22</v>
      </c>
      <c r="B29" s="31" t="s">
        <v>19</v>
      </c>
      <c r="C29" s="68">
        <v>5</v>
      </c>
      <c r="D29" s="94">
        <v>13061</v>
      </c>
      <c r="E29" s="32">
        <v>13</v>
      </c>
      <c r="F29" s="32"/>
      <c r="G29" s="32"/>
      <c r="H29" s="32"/>
      <c r="I29" s="32"/>
      <c r="J29" s="32"/>
      <c r="K29" s="32"/>
      <c r="L29" s="93">
        <v>3539</v>
      </c>
      <c r="M29" s="70">
        <f t="shared" si="7"/>
        <v>3.691</v>
      </c>
      <c r="N29" s="45">
        <f>ROUND(E29*L29*M29/1000,1)+2.8</f>
        <v>172.60000000000002</v>
      </c>
      <c r="O29" s="45">
        <f t="shared" si="1"/>
        <v>0</v>
      </c>
      <c r="P29" s="45">
        <f t="shared" si="2"/>
        <v>0</v>
      </c>
      <c r="Q29" s="45">
        <f t="shared" si="3"/>
        <v>0</v>
      </c>
      <c r="R29" s="45">
        <f t="shared" si="4"/>
        <v>0</v>
      </c>
      <c r="S29" s="45">
        <f t="shared" si="5"/>
        <v>0</v>
      </c>
      <c r="T29" s="45">
        <f t="shared" si="6"/>
        <v>0</v>
      </c>
      <c r="U29" s="45">
        <f>SUM(N29:T29)+0.4</f>
        <v>173.00000000000003</v>
      </c>
      <c r="V29" s="63"/>
      <c r="W29" s="97"/>
    </row>
    <row r="30" spans="1:23" s="35" customFormat="1" ht="18.75" customHeight="1">
      <c r="A30" s="30">
        <v>23</v>
      </c>
      <c r="B30" s="31" t="s">
        <v>20</v>
      </c>
      <c r="C30" s="68">
        <v>6</v>
      </c>
      <c r="D30" s="94">
        <v>23385</v>
      </c>
      <c r="E30" s="32">
        <v>8</v>
      </c>
      <c r="F30" s="32"/>
      <c r="G30" s="32"/>
      <c r="H30" s="32"/>
      <c r="I30" s="32"/>
      <c r="J30" s="32"/>
      <c r="K30" s="32"/>
      <c r="L30" s="93">
        <v>3539</v>
      </c>
      <c r="M30" s="70">
        <f t="shared" si="7"/>
        <v>6.608</v>
      </c>
      <c r="N30" s="45">
        <f>ROUND(E30*L30*M30/1000,1)+1.9</f>
        <v>189</v>
      </c>
      <c r="O30" s="45">
        <f t="shared" si="1"/>
        <v>0</v>
      </c>
      <c r="P30" s="45">
        <f t="shared" si="2"/>
        <v>0</v>
      </c>
      <c r="Q30" s="45">
        <f t="shared" si="3"/>
        <v>0</v>
      </c>
      <c r="R30" s="45">
        <f t="shared" si="4"/>
        <v>0</v>
      </c>
      <c r="S30" s="45">
        <f t="shared" si="5"/>
        <v>0</v>
      </c>
      <c r="T30" s="45">
        <f t="shared" si="6"/>
        <v>0</v>
      </c>
      <c r="U30" s="45">
        <f>SUM(N30:T30)</f>
        <v>189</v>
      </c>
      <c r="V30" s="63"/>
      <c r="W30" s="97"/>
    </row>
    <row r="31" spans="1:23" s="35" customFormat="1" ht="15.75">
      <c r="A31" s="30">
        <v>24</v>
      </c>
      <c r="B31" s="31" t="s">
        <v>21</v>
      </c>
      <c r="C31" s="68">
        <v>5</v>
      </c>
      <c r="D31" s="94">
        <v>51840</v>
      </c>
      <c r="E31" s="32"/>
      <c r="F31" s="32"/>
      <c r="G31" s="32"/>
      <c r="H31" s="32"/>
      <c r="I31" s="32"/>
      <c r="J31" s="32"/>
      <c r="K31" s="32"/>
      <c r="L31" s="93">
        <v>3539</v>
      </c>
      <c r="M31" s="70">
        <f t="shared" si="7"/>
        <v>14.648</v>
      </c>
      <c r="N31" s="45">
        <f>ROUND(E31*L31*M31/1000,1)</f>
        <v>0</v>
      </c>
      <c r="O31" s="45">
        <f t="shared" si="1"/>
        <v>0</v>
      </c>
      <c r="P31" s="45">
        <f t="shared" si="2"/>
        <v>0</v>
      </c>
      <c r="Q31" s="45">
        <f t="shared" si="3"/>
        <v>0</v>
      </c>
      <c r="R31" s="45">
        <f t="shared" si="4"/>
        <v>0</v>
      </c>
      <c r="S31" s="45">
        <f t="shared" si="5"/>
        <v>0</v>
      </c>
      <c r="T31" s="45">
        <f t="shared" si="6"/>
        <v>0</v>
      </c>
      <c r="U31" s="45">
        <f>SUM(N31:T31)</f>
        <v>0</v>
      </c>
      <c r="V31" s="63"/>
      <c r="W31" s="97"/>
    </row>
    <row r="32" spans="1:23" s="35" customFormat="1" ht="15.75">
      <c r="A32" s="37">
        <v>25</v>
      </c>
      <c r="B32" s="31" t="s">
        <v>22</v>
      </c>
      <c r="C32" s="68">
        <v>6</v>
      </c>
      <c r="D32" s="94">
        <v>65785</v>
      </c>
      <c r="E32" s="32"/>
      <c r="F32" s="32"/>
      <c r="G32" s="32"/>
      <c r="H32" s="32"/>
      <c r="I32" s="32"/>
      <c r="J32" s="32"/>
      <c r="K32" s="32"/>
      <c r="L32" s="93">
        <v>3539</v>
      </c>
      <c r="M32" s="70">
        <f t="shared" si="7"/>
        <v>18.589</v>
      </c>
      <c r="N32" s="45">
        <f>ROUND(E32*L32*M32/1000,1)</f>
        <v>0</v>
      </c>
      <c r="O32" s="45">
        <f t="shared" si="1"/>
        <v>0</v>
      </c>
      <c r="P32" s="45">
        <f t="shared" si="2"/>
        <v>0</v>
      </c>
      <c r="Q32" s="45">
        <f t="shared" si="3"/>
        <v>0</v>
      </c>
      <c r="R32" s="45">
        <f t="shared" si="4"/>
        <v>0</v>
      </c>
      <c r="S32" s="45">
        <f t="shared" si="5"/>
        <v>0</v>
      </c>
      <c r="T32" s="45">
        <f t="shared" si="6"/>
        <v>0</v>
      </c>
      <c r="U32" s="45">
        <f>SUM(N32:T32)</f>
        <v>0</v>
      </c>
      <c r="V32" s="63"/>
      <c r="W32" s="97"/>
    </row>
    <row r="33" spans="1:23" s="35" customFormat="1" ht="15.75">
      <c r="A33" s="30">
        <v>26</v>
      </c>
      <c r="B33" s="31" t="s">
        <v>23</v>
      </c>
      <c r="C33" s="68">
        <v>5</v>
      </c>
      <c r="D33" s="94">
        <v>26882</v>
      </c>
      <c r="E33" s="32">
        <v>3</v>
      </c>
      <c r="F33" s="32"/>
      <c r="G33" s="32"/>
      <c r="H33" s="32"/>
      <c r="I33" s="32"/>
      <c r="J33" s="32"/>
      <c r="K33" s="32"/>
      <c r="L33" s="93">
        <v>3539</v>
      </c>
      <c r="M33" s="70">
        <f t="shared" si="7"/>
        <v>7.596</v>
      </c>
      <c r="N33" s="45">
        <f>ROUND(E33*L33*M33/1000,1)+3.3</f>
        <v>83.89999999999999</v>
      </c>
      <c r="O33" s="45">
        <f t="shared" si="1"/>
        <v>0</v>
      </c>
      <c r="P33" s="45">
        <f t="shared" si="2"/>
        <v>0</v>
      </c>
      <c r="Q33" s="45">
        <f t="shared" si="3"/>
        <v>0</v>
      </c>
      <c r="R33" s="45">
        <f t="shared" si="4"/>
        <v>0</v>
      </c>
      <c r="S33" s="45">
        <f t="shared" si="5"/>
        <v>0</v>
      </c>
      <c r="T33" s="45">
        <f t="shared" si="6"/>
        <v>0</v>
      </c>
      <c r="U33" s="45">
        <f>SUM(N33:T33)</f>
        <v>83.89999999999999</v>
      </c>
      <c r="V33" s="63"/>
      <c r="W33" s="97"/>
    </row>
    <row r="34" spans="1:23" s="35" customFormat="1" ht="24" customHeight="1">
      <c r="A34" s="30">
        <v>27</v>
      </c>
      <c r="B34" s="31" t="s">
        <v>24</v>
      </c>
      <c r="C34" s="68">
        <v>5</v>
      </c>
      <c r="D34" s="94">
        <v>23444</v>
      </c>
      <c r="E34" s="32">
        <v>6</v>
      </c>
      <c r="F34" s="32"/>
      <c r="G34" s="32"/>
      <c r="H34" s="32"/>
      <c r="I34" s="32"/>
      <c r="J34" s="32"/>
      <c r="K34" s="32"/>
      <c r="L34" s="93">
        <v>3539</v>
      </c>
      <c r="M34" s="70">
        <f t="shared" si="7"/>
        <v>6.624</v>
      </c>
      <c r="N34" s="45">
        <f>ROUND(E34*L34*M34/1000,1)+0.6+2</f>
        <v>143.29999999999998</v>
      </c>
      <c r="O34" s="45">
        <f t="shared" si="1"/>
        <v>0</v>
      </c>
      <c r="P34" s="45">
        <f t="shared" si="2"/>
        <v>0</v>
      </c>
      <c r="Q34" s="45">
        <f t="shared" si="3"/>
        <v>0</v>
      </c>
      <c r="R34" s="45">
        <f t="shared" si="4"/>
        <v>0</v>
      </c>
      <c r="S34" s="45">
        <f t="shared" si="5"/>
        <v>0</v>
      </c>
      <c r="T34" s="45">
        <f t="shared" si="6"/>
        <v>0</v>
      </c>
      <c r="U34" s="45">
        <f>SUM(N34:T34)+0.2</f>
        <v>143.49999999999997</v>
      </c>
      <c r="V34" s="63"/>
      <c r="W34" s="97"/>
    </row>
    <row r="35" spans="1:23" s="35" customFormat="1" ht="27.75" customHeight="1">
      <c r="A35" s="37">
        <v>28</v>
      </c>
      <c r="B35" s="31" t="s">
        <v>25</v>
      </c>
      <c r="C35" s="68">
        <v>5</v>
      </c>
      <c r="D35" s="94">
        <v>52126</v>
      </c>
      <c r="E35" s="32"/>
      <c r="F35" s="32"/>
      <c r="G35" s="32"/>
      <c r="H35" s="32"/>
      <c r="I35" s="32"/>
      <c r="J35" s="32"/>
      <c r="K35" s="32"/>
      <c r="L35" s="93">
        <v>3539</v>
      </c>
      <c r="M35" s="70">
        <f t="shared" si="7"/>
        <v>14.729</v>
      </c>
      <c r="N35" s="45">
        <f>ROUND(E35*L35*M35/1000,1)</f>
        <v>0</v>
      </c>
      <c r="O35" s="45">
        <f t="shared" si="1"/>
        <v>0</v>
      </c>
      <c r="P35" s="45">
        <f t="shared" si="2"/>
        <v>0</v>
      </c>
      <c r="Q35" s="45">
        <f t="shared" si="3"/>
        <v>0</v>
      </c>
      <c r="R35" s="45">
        <f t="shared" si="4"/>
        <v>0</v>
      </c>
      <c r="S35" s="45">
        <f t="shared" si="5"/>
        <v>0</v>
      </c>
      <c r="T35" s="45">
        <f t="shared" si="6"/>
        <v>0</v>
      </c>
      <c r="U35" s="45">
        <f>SUM(N35:T35)</f>
        <v>0</v>
      </c>
      <c r="V35" s="63"/>
      <c r="W35" s="97"/>
    </row>
    <row r="36" spans="1:23" s="35" customFormat="1" ht="18.75" customHeight="1">
      <c r="A36" s="30">
        <v>29</v>
      </c>
      <c r="B36" s="31" t="s">
        <v>26</v>
      </c>
      <c r="C36" s="68">
        <v>6</v>
      </c>
      <c r="D36" s="94">
        <v>71080</v>
      </c>
      <c r="E36" s="32">
        <v>10</v>
      </c>
      <c r="F36" s="32"/>
      <c r="G36" s="32"/>
      <c r="H36" s="32"/>
      <c r="I36" s="32"/>
      <c r="J36" s="32"/>
      <c r="K36" s="32"/>
      <c r="L36" s="93">
        <v>3539</v>
      </c>
      <c r="M36" s="70">
        <f t="shared" si="7"/>
        <v>20.085</v>
      </c>
      <c r="N36" s="45">
        <f>ROUND(E36*L36*M36/1000,1)+2.8</f>
        <v>713.5999999999999</v>
      </c>
      <c r="O36" s="45">
        <f t="shared" si="1"/>
        <v>0</v>
      </c>
      <c r="P36" s="45">
        <f t="shared" si="2"/>
        <v>0</v>
      </c>
      <c r="Q36" s="45">
        <f t="shared" si="3"/>
        <v>0</v>
      </c>
      <c r="R36" s="45">
        <f t="shared" si="4"/>
        <v>0</v>
      </c>
      <c r="S36" s="45">
        <f t="shared" si="5"/>
        <v>0</v>
      </c>
      <c r="T36" s="45">
        <f t="shared" si="6"/>
        <v>0</v>
      </c>
      <c r="U36" s="45">
        <f>SUM(N36:T36)-0.2</f>
        <v>713.3999999999999</v>
      </c>
      <c r="V36" s="63"/>
      <c r="W36" s="97"/>
    </row>
    <row r="37" spans="1:23" s="35" customFormat="1" ht="32.25" customHeight="1">
      <c r="A37" s="30">
        <v>30</v>
      </c>
      <c r="B37" s="31" t="s">
        <v>27</v>
      </c>
      <c r="C37" s="68">
        <v>6</v>
      </c>
      <c r="D37" s="94">
        <v>47279</v>
      </c>
      <c r="E37" s="32"/>
      <c r="F37" s="32"/>
      <c r="G37" s="32"/>
      <c r="H37" s="32"/>
      <c r="I37" s="32"/>
      <c r="J37" s="32"/>
      <c r="K37" s="32"/>
      <c r="L37" s="93">
        <v>3539</v>
      </c>
      <c r="M37" s="70">
        <f t="shared" si="7"/>
        <v>13.359</v>
      </c>
      <c r="N37" s="45">
        <f>ROUND(E37*L37*M37/1000,1)</f>
        <v>0</v>
      </c>
      <c r="O37" s="45">
        <f t="shared" si="1"/>
        <v>0</v>
      </c>
      <c r="P37" s="45">
        <f t="shared" si="2"/>
        <v>0</v>
      </c>
      <c r="Q37" s="45">
        <f t="shared" si="3"/>
        <v>0</v>
      </c>
      <c r="R37" s="45">
        <f t="shared" si="4"/>
        <v>0</v>
      </c>
      <c r="S37" s="45">
        <f t="shared" si="5"/>
        <v>0</v>
      </c>
      <c r="T37" s="45">
        <f t="shared" si="6"/>
        <v>0</v>
      </c>
      <c r="U37" s="45">
        <f>SUM(N37:T37)</f>
        <v>0</v>
      </c>
      <c r="V37" s="63"/>
      <c r="W37" s="97"/>
    </row>
    <row r="38" spans="1:23" s="35" customFormat="1" ht="15.75">
      <c r="A38" s="37">
        <v>31</v>
      </c>
      <c r="B38" s="31" t="s">
        <v>28</v>
      </c>
      <c r="C38" s="68">
        <v>5</v>
      </c>
      <c r="D38" s="94">
        <v>29475</v>
      </c>
      <c r="E38" s="32">
        <v>15</v>
      </c>
      <c r="F38" s="32"/>
      <c r="G38" s="32"/>
      <c r="H38" s="32"/>
      <c r="I38" s="32"/>
      <c r="J38" s="32"/>
      <c r="K38" s="32"/>
      <c r="L38" s="93">
        <v>3539</v>
      </c>
      <c r="M38" s="70">
        <f t="shared" si="7"/>
        <v>8.329</v>
      </c>
      <c r="N38" s="45">
        <f>ROUND(E38*L38*M38/1000,1)+1.1</f>
        <v>443.20000000000005</v>
      </c>
      <c r="O38" s="45">
        <f t="shared" si="1"/>
        <v>0</v>
      </c>
      <c r="P38" s="45">
        <f t="shared" si="2"/>
        <v>0</v>
      </c>
      <c r="Q38" s="45">
        <f t="shared" si="3"/>
        <v>0</v>
      </c>
      <c r="R38" s="45">
        <f t="shared" si="4"/>
        <v>0</v>
      </c>
      <c r="S38" s="45">
        <f t="shared" si="5"/>
        <v>0</v>
      </c>
      <c r="T38" s="45">
        <f t="shared" si="6"/>
        <v>0</v>
      </c>
      <c r="U38" s="45">
        <f>SUM(N38:T38)+0.1</f>
        <v>443.30000000000007</v>
      </c>
      <c r="V38" s="63"/>
      <c r="W38" s="97"/>
    </row>
    <row r="39" spans="1:23" s="35" customFormat="1" ht="15.75">
      <c r="A39" s="30">
        <v>32</v>
      </c>
      <c r="B39" s="31" t="s">
        <v>29</v>
      </c>
      <c r="C39" s="68">
        <v>5</v>
      </c>
      <c r="D39" s="94">
        <v>51473</v>
      </c>
      <c r="E39" s="32"/>
      <c r="F39" s="32"/>
      <c r="G39" s="32"/>
      <c r="H39" s="32"/>
      <c r="I39" s="32"/>
      <c r="J39" s="32"/>
      <c r="K39" s="32"/>
      <c r="L39" s="93">
        <v>3539</v>
      </c>
      <c r="M39" s="70">
        <f t="shared" si="7"/>
        <v>14.545</v>
      </c>
      <c r="N39" s="45">
        <f>ROUND(E39*L39*M39/1000,1)</f>
        <v>0</v>
      </c>
      <c r="O39" s="45">
        <f t="shared" si="1"/>
        <v>0</v>
      </c>
      <c r="P39" s="45">
        <f t="shared" si="2"/>
        <v>0</v>
      </c>
      <c r="Q39" s="45">
        <f t="shared" si="3"/>
        <v>0</v>
      </c>
      <c r="R39" s="45">
        <f t="shared" si="4"/>
        <v>0</v>
      </c>
      <c r="S39" s="45">
        <f t="shared" si="5"/>
        <v>0</v>
      </c>
      <c r="T39" s="45">
        <f t="shared" si="6"/>
        <v>0</v>
      </c>
      <c r="U39" s="45">
        <f>SUM(N39:T39)</f>
        <v>0</v>
      </c>
      <c r="V39" s="63"/>
      <c r="W39" s="97"/>
    </row>
    <row r="40" spans="1:23" s="35" customFormat="1" ht="15.75">
      <c r="A40" s="30">
        <v>33</v>
      </c>
      <c r="B40" s="31" t="s">
        <v>30</v>
      </c>
      <c r="C40" s="68">
        <v>6</v>
      </c>
      <c r="D40" s="94">
        <v>29038</v>
      </c>
      <c r="E40" s="32"/>
      <c r="F40" s="32"/>
      <c r="G40" s="32"/>
      <c r="H40" s="32"/>
      <c r="I40" s="32"/>
      <c r="J40" s="32"/>
      <c r="K40" s="32"/>
      <c r="L40" s="93">
        <v>3539</v>
      </c>
      <c r="M40" s="70">
        <f t="shared" si="7"/>
        <v>8.205</v>
      </c>
      <c r="N40" s="45">
        <f>ROUND(E40*L40*M40/1000,1)</f>
        <v>0</v>
      </c>
      <c r="O40" s="45">
        <f t="shared" si="1"/>
        <v>0</v>
      </c>
      <c r="P40" s="45">
        <f t="shared" si="2"/>
        <v>0</v>
      </c>
      <c r="Q40" s="45">
        <f t="shared" si="3"/>
        <v>0</v>
      </c>
      <c r="R40" s="45">
        <f t="shared" si="4"/>
        <v>0</v>
      </c>
      <c r="S40" s="45">
        <f t="shared" si="5"/>
        <v>0</v>
      </c>
      <c r="T40" s="45">
        <f t="shared" si="6"/>
        <v>0</v>
      </c>
      <c r="U40" s="45">
        <f>SUM(N40:T40)</f>
        <v>0</v>
      </c>
      <c r="V40" s="63"/>
      <c r="W40" s="97"/>
    </row>
    <row r="41" spans="1:23" s="35" customFormat="1" ht="15.75">
      <c r="A41" s="37">
        <v>34</v>
      </c>
      <c r="B41" s="31" t="s">
        <v>31</v>
      </c>
      <c r="C41" s="68">
        <v>5</v>
      </c>
      <c r="D41" s="94">
        <v>16744</v>
      </c>
      <c r="E41" s="32">
        <v>13</v>
      </c>
      <c r="F41" s="32"/>
      <c r="G41" s="32"/>
      <c r="H41" s="32"/>
      <c r="I41" s="32"/>
      <c r="J41" s="32"/>
      <c r="K41" s="32"/>
      <c r="L41" s="93">
        <v>3539</v>
      </c>
      <c r="M41" s="70">
        <f t="shared" si="7"/>
        <v>4.731</v>
      </c>
      <c r="N41" s="45">
        <f>ROUND(E41*L41*M41/1000,1)+3.1</f>
        <v>220.79999999999998</v>
      </c>
      <c r="O41" s="45">
        <f t="shared" si="1"/>
        <v>0</v>
      </c>
      <c r="P41" s="45">
        <f>ROUND(G41/1000*M41*L41,1)</f>
        <v>0</v>
      </c>
      <c r="Q41" s="45">
        <f t="shared" si="3"/>
        <v>0</v>
      </c>
      <c r="R41" s="45">
        <f t="shared" si="4"/>
        <v>0</v>
      </c>
      <c r="S41" s="45">
        <f t="shared" si="5"/>
        <v>0</v>
      </c>
      <c r="T41" s="45">
        <f t="shared" si="6"/>
        <v>0</v>
      </c>
      <c r="U41" s="45">
        <f>SUM(N41:T41)-0.3</f>
        <v>220.49999999999997</v>
      </c>
      <c r="V41" s="63"/>
      <c r="W41" s="97"/>
    </row>
    <row r="42" spans="1:23" s="35" customFormat="1" ht="22.5" customHeight="1">
      <c r="A42" s="30">
        <v>35</v>
      </c>
      <c r="B42" s="31" t="s">
        <v>32</v>
      </c>
      <c r="C42" s="68">
        <v>5</v>
      </c>
      <c r="D42" s="94">
        <v>16816</v>
      </c>
      <c r="E42" s="32">
        <v>14</v>
      </c>
      <c r="F42" s="32"/>
      <c r="G42" s="32"/>
      <c r="H42" s="32"/>
      <c r="I42" s="32"/>
      <c r="J42" s="32"/>
      <c r="K42" s="32"/>
      <c r="L42" s="93">
        <v>3539</v>
      </c>
      <c r="M42" s="70">
        <f t="shared" si="7"/>
        <v>4.752</v>
      </c>
      <c r="N42" s="45">
        <f>ROUND(E42*L42*M42/1000,1)+2.5</f>
        <v>237.9</v>
      </c>
      <c r="O42" s="45">
        <f t="shared" si="1"/>
        <v>0</v>
      </c>
      <c r="P42" s="45">
        <f t="shared" si="2"/>
        <v>0</v>
      </c>
      <c r="Q42" s="45">
        <f t="shared" si="3"/>
        <v>0</v>
      </c>
      <c r="R42" s="45">
        <f t="shared" si="4"/>
        <v>0</v>
      </c>
      <c r="S42" s="45">
        <f t="shared" si="5"/>
        <v>0</v>
      </c>
      <c r="T42" s="45">
        <f t="shared" si="6"/>
        <v>0</v>
      </c>
      <c r="U42" s="45">
        <f>SUM(N42:T42)+0.1</f>
        <v>238</v>
      </c>
      <c r="V42" s="63"/>
      <c r="W42" s="97"/>
    </row>
    <row r="43" spans="1:23" s="35" customFormat="1" ht="21.75" customHeight="1">
      <c r="A43" s="30">
        <v>36</v>
      </c>
      <c r="B43" s="31" t="s">
        <v>33</v>
      </c>
      <c r="C43" s="68">
        <v>5</v>
      </c>
      <c r="D43" s="94">
        <v>6728</v>
      </c>
      <c r="E43" s="32">
        <v>4</v>
      </c>
      <c r="F43" s="32"/>
      <c r="G43" s="32"/>
      <c r="H43" s="32">
        <v>1</v>
      </c>
      <c r="I43" s="32"/>
      <c r="J43" s="32"/>
      <c r="K43" s="32"/>
      <c r="L43" s="93">
        <v>3539</v>
      </c>
      <c r="M43" s="70">
        <f t="shared" si="7"/>
        <v>1.901</v>
      </c>
      <c r="N43" s="45">
        <f>ROUND(E43*L43*M43/1000,1)+2.5</f>
        <v>29.4</v>
      </c>
      <c r="O43" s="45">
        <f t="shared" si="1"/>
        <v>0</v>
      </c>
      <c r="P43" s="45">
        <f t="shared" si="2"/>
        <v>0</v>
      </c>
      <c r="Q43" s="45">
        <f t="shared" si="3"/>
        <v>6.7</v>
      </c>
      <c r="R43" s="45">
        <f t="shared" si="4"/>
        <v>0</v>
      </c>
      <c r="S43" s="45">
        <f t="shared" si="5"/>
        <v>0</v>
      </c>
      <c r="T43" s="45">
        <f t="shared" si="6"/>
        <v>0</v>
      </c>
      <c r="U43" s="45">
        <f>SUM(N43:T43)+0.1</f>
        <v>36.2</v>
      </c>
      <c r="V43" s="63"/>
      <c r="W43" s="97"/>
    </row>
    <row r="44" spans="1:23" s="35" customFormat="1" ht="21" customHeight="1">
      <c r="A44" s="37">
        <v>37</v>
      </c>
      <c r="B44" s="31" t="s">
        <v>34</v>
      </c>
      <c r="C44" s="68">
        <v>6</v>
      </c>
      <c r="D44" s="94">
        <v>11106</v>
      </c>
      <c r="E44" s="32"/>
      <c r="F44" s="32"/>
      <c r="G44" s="32"/>
      <c r="H44" s="32"/>
      <c r="I44" s="32"/>
      <c r="J44" s="32"/>
      <c r="K44" s="32"/>
      <c r="L44" s="93">
        <v>3539</v>
      </c>
      <c r="M44" s="70">
        <f t="shared" si="7"/>
        <v>3.138</v>
      </c>
      <c r="N44" s="45">
        <f>ROUND(E44*L44*M44/1000,1)</f>
        <v>0</v>
      </c>
      <c r="O44" s="45">
        <f t="shared" si="1"/>
        <v>0</v>
      </c>
      <c r="P44" s="45">
        <f t="shared" si="2"/>
        <v>0</v>
      </c>
      <c r="Q44" s="45">
        <f t="shared" si="3"/>
        <v>0</v>
      </c>
      <c r="R44" s="45">
        <f t="shared" si="4"/>
        <v>0</v>
      </c>
      <c r="S44" s="45">
        <f t="shared" si="5"/>
        <v>0</v>
      </c>
      <c r="T44" s="45">
        <f t="shared" si="6"/>
        <v>0</v>
      </c>
      <c r="U44" s="45">
        <f>SUM(N44:T44)</f>
        <v>0</v>
      </c>
      <c r="V44" s="63"/>
      <c r="W44" s="97"/>
    </row>
    <row r="45" spans="1:23" s="35" customFormat="1" ht="31.5">
      <c r="A45" s="30">
        <v>38</v>
      </c>
      <c r="B45" s="31" t="s">
        <v>35</v>
      </c>
      <c r="C45" s="68">
        <v>5</v>
      </c>
      <c r="D45" s="94">
        <v>37518</v>
      </c>
      <c r="E45" s="32"/>
      <c r="F45" s="32"/>
      <c r="G45" s="32"/>
      <c r="H45" s="32"/>
      <c r="I45" s="32"/>
      <c r="J45" s="32"/>
      <c r="K45" s="32"/>
      <c r="L45" s="93">
        <v>3539</v>
      </c>
      <c r="M45" s="70">
        <f t="shared" si="7"/>
        <v>10.601</v>
      </c>
      <c r="N45" s="45">
        <f>ROUND(E45*L45*M45/1000,1)</f>
        <v>0</v>
      </c>
      <c r="O45" s="45">
        <f t="shared" si="1"/>
        <v>0</v>
      </c>
      <c r="P45" s="45">
        <f t="shared" si="2"/>
        <v>0</v>
      </c>
      <c r="Q45" s="45">
        <f t="shared" si="3"/>
        <v>0</v>
      </c>
      <c r="R45" s="45">
        <f t="shared" si="4"/>
        <v>0</v>
      </c>
      <c r="S45" s="45">
        <f t="shared" si="5"/>
        <v>0</v>
      </c>
      <c r="T45" s="45">
        <f t="shared" si="6"/>
        <v>0</v>
      </c>
      <c r="U45" s="45">
        <f>SUM(N45:T45)</f>
        <v>0</v>
      </c>
      <c r="V45" s="63"/>
      <c r="W45" s="97"/>
    </row>
    <row r="46" spans="1:23" s="35" customFormat="1" ht="16.5" thickBot="1">
      <c r="A46" s="30">
        <v>39</v>
      </c>
      <c r="B46" s="41" t="s">
        <v>36</v>
      </c>
      <c r="C46" s="68">
        <v>5</v>
      </c>
      <c r="D46" s="94">
        <v>35588</v>
      </c>
      <c r="E46" s="32"/>
      <c r="F46" s="32"/>
      <c r="G46" s="32"/>
      <c r="H46" s="32"/>
      <c r="I46" s="32"/>
      <c r="J46" s="32"/>
      <c r="K46" s="32"/>
      <c r="L46" s="93">
        <v>3539</v>
      </c>
      <c r="M46" s="70">
        <f t="shared" si="7"/>
        <v>10.056</v>
      </c>
      <c r="N46" s="45">
        <f>ROUND(E46*L46*M46/1000,1)</f>
        <v>0</v>
      </c>
      <c r="O46" s="45">
        <f t="shared" si="1"/>
        <v>0</v>
      </c>
      <c r="P46" s="45">
        <f t="shared" si="2"/>
        <v>0</v>
      </c>
      <c r="Q46" s="45">
        <f t="shared" si="3"/>
        <v>0</v>
      </c>
      <c r="R46" s="45">
        <f t="shared" si="4"/>
        <v>0</v>
      </c>
      <c r="S46" s="45">
        <f t="shared" si="5"/>
        <v>0</v>
      </c>
      <c r="T46" s="45">
        <f t="shared" si="6"/>
        <v>0</v>
      </c>
      <c r="U46" s="45">
        <f>SUM(N46:T46)</f>
        <v>0</v>
      </c>
      <c r="V46" s="98"/>
      <c r="W46" s="97"/>
    </row>
    <row r="47" spans="1:23" s="35" customFormat="1" ht="48" thickBot="1">
      <c r="A47" s="42"/>
      <c r="B47" s="69" t="s">
        <v>78</v>
      </c>
      <c r="C47" s="43"/>
      <c r="D47" s="43"/>
      <c r="E47" s="44">
        <f aca="true" t="shared" si="8" ref="E47:K47">SUM(E8:E46)</f>
        <v>419</v>
      </c>
      <c r="F47" s="44">
        <f t="shared" si="8"/>
        <v>166</v>
      </c>
      <c r="G47" s="44">
        <f t="shared" si="8"/>
        <v>3</v>
      </c>
      <c r="H47" s="44">
        <f t="shared" si="8"/>
        <v>2</v>
      </c>
      <c r="I47" s="44">
        <f t="shared" si="8"/>
        <v>4</v>
      </c>
      <c r="J47" s="44">
        <f t="shared" si="8"/>
        <v>2</v>
      </c>
      <c r="K47" s="44">
        <f t="shared" si="8"/>
        <v>1</v>
      </c>
      <c r="L47" s="60"/>
      <c r="M47" s="60"/>
      <c r="N47" s="45">
        <f aca="true" t="shared" si="9" ref="N47:U47">SUM(N8:N46)</f>
        <v>4456.9</v>
      </c>
      <c r="O47" s="45">
        <f t="shared" si="9"/>
        <v>1097.4</v>
      </c>
      <c r="P47" s="45">
        <f t="shared" si="9"/>
        <v>14.5</v>
      </c>
      <c r="Q47" s="45">
        <f t="shared" si="9"/>
        <v>11.4</v>
      </c>
      <c r="R47" s="45">
        <f t="shared" si="9"/>
        <v>23.9</v>
      </c>
      <c r="S47" s="45">
        <f t="shared" si="9"/>
        <v>9.6</v>
      </c>
      <c r="T47" s="45">
        <f t="shared" si="9"/>
        <v>4.5</v>
      </c>
      <c r="U47" s="45">
        <f t="shared" si="9"/>
        <v>5617.3</v>
      </c>
      <c r="V47" s="95"/>
      <c r="W47" s="96"/>
    </row>
    <row r="48" spans="1:23" s="5" customFormat="1" ht="18" customHeight="1">
      <c r="A48" s="8"/>
      <c r="B48" s="9"/>
      <c r="C48" s="9"/>
      <c r="D48" s="9"/>
      <c r="E48" s="9">
        <f>SUM(E47:K47)</f>
        <v>597</v>
      </c>
      <c r="F48" s="10"/>
      <c r="G48" s="10"/>
      <c r="H48" s="10"/>
      <c r="I48" s="10"/>
      <c r="J48" s="10"/>
      <c r="K48" s="10"/>
      <c r="L48" s="10"/>
      <c r="M48" s="10"/>
      <c r="U48" s="46">
        <f>SUM(N47:T47)</f>
        <v>5618.199999999999</v>
      </c>
      <c r="V48" s="52"/>
      <c r="W48" s="52"/>
    </row>
    <row r="49" spans="1:23" s="5" customFormat="1" ht="15.75">
      <c r="A49" s="11"/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U49" s="49"/>
      <c r="V49" s="52"/>
      <c r="W49" s="52"/>
    </row>
    <row r="50" spans="1:23" s="5" customFormat="1" ht="15.75">
      <c r="A50" s="11"/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V50" s="52"/>
      <c r="W50" s="52"/>
    </row>
    <row r="51" spans="1:23" s="5" customFormat="1" ht="15.75">
      <c r="A51" s="11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U51" s="47"/>
      <c r="V51" s="52"/>
      <c r="W51" s="52"/>
    </row>
    <row r="52" spans="1:23" s="5" customFormat="1" ht="15.75">
      <c r="A52" s="11"/>
      <c r="B52" s="12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3"/>
      <c r="V52" s="52"/>
      <c r="W52" s="52"/>
    </row>
    <row r="53" spans="1:23" s="5" customFormat="1" ht="15.75">
      <c r="A53" s="11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M53" s="13"/>
      <c r="V53" s="52"/>
      <c r="W53" s="52"/>
    </row>
    <row r="54" spans="1:23" s="5" customFormat="1" ht="15.75">
      <c r="A54" s="11"/>
      <c r="B54" s="14"/>
      <c r="C54" s="14"/>
      <c r="D54" s="14"/>
      <c r="E54" s="13"/>
      <c r="F54" s="13"/>
      <c r="G54" s="13"/>
      <c r="H54" s="13"/>
      <c r="I54" s="13"/>
      <c r="J54" s="13"/>
      <c r="K54" s="13"/>
      <c r="L54" s="13"/>
      <c r="M54" s="13"/>
      <c r="V54" s="52"/>
      <c r="W54" s="52"/>
    </row>
    <row r="55" spans="1:23" s="5" customFormat="1" ht="16.5" customHeight="1">
      <c r="A55" s="11"/>
      <c r="B55" s="12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V55" s="52"/>
      <c r="W55" s="52"/>
    </row>
    <row r="56" spans="1:23" s="5" customFormat="1" ht="15.75">
      <c r="A56" s="11"/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V56" s="52"/>
      <c r="W56" s="52"/>
    </row>
    <row r="57" spans="1:23" s="5" customFormat="1" ht="15.75">
      <c r="A57" s="11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V57" s="52"/>
      <c r="W57" s="52"/>
    </row>
    <row r="58" spans="1:23" s="5" customFormat="1" ht="15.75">
      <c r="A58" s="11"/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V58" s="52"/>
      <c r="W58" s="52"/>
    </row>
    <row r="59" spans="1:23" s="5" customFormat="1" ht="15.75">
      <c r="A59" s="11"/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V59" s="52"/>
      <c r="W59" s="52"/>
    </row>
    <row r="60" spans="1:23" s="5" customFormat="1" ht="15.75">
      <c r="A60" s="11"/>
      <c r="B60" s="12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V60" s="52"/>
      <c r="W60" s="52"/>
    </row>
    <row r="61" spans="1:23" s="5" customFormat="1" ht="15.75">
      <c r="A61" s="11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V61" s="52"/>
      <c r="W61" s="52"/>
    </row>
    <row r="62" spans="1:23" s="17" customFormat="1" ht="16.5" customHeight="1">
      <c r="A62" s="295"/>
      <c r="B62" s="295"/>
      <c r="C62" s="295"/>
      <c r="D62" s="295"/>
      <c r="E62" s="295"/>
      <c r="F62" s="51"/>
      <c r="G62" s="51"/>
      <c r="H62" s="51"/>
      <c r="I62" s="51"/>
      <c r="J62" s="51"/>
      <c r="K62" s="51"/>
      <c r="L62" s="56"/>
      <c r="M62" s="59"/>
      <c r="V62" s="53"/>
      <c r="W62" s="53"/>
    </row>
    <row r="63" spans="1:13" ht="15.75">
      <c r="A63" s="11"/>
      <c r="B63" s="14"/>
      <c r="C63" s="14"/>
      <c r="D63" s="14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>
      <c r="A64" s="11"/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>
      <c r="A65" s="11"/>
      <c r="B65" s="14"/>
      <c r="C65" s="14"/>
      <c r="D65" s="14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>
      <c r="A66" s="11"/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8" customHeight="1">
      <c r="A67" s="11"/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>
      <c r="A68" s="11"/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>
      <c r="A69" s="11"/>
      <c r="B69" s="14"/>
      <c r="C69" s="14"/>
      <c r="D69" s="14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>
      <c r="A70" s="11"/>
      <c r="B70" s="14"/>
      <c r="C70" s="14"/>
      <c r="D70" s="14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>
      <c r="A71" s="11"/>
      <c r="B71" s="14"/>
      <c r="C71" s="14"/>
      <c r="D71" s="14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>
      <c r="A72" s="11"/>
      <c r="B72" s="14"/>
      <c r="C72" s="14"/>
      <c r="D72" s="14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>
      <c r="A73" s="11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>
      <c r="A74" s="11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>
      <c r="A75" s="11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>
      <c r="A76" s="11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>
      <c r="A77" s="11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>
      <c r="A78" s="11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>
      <c r="A79" s="11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>
      <c r="A80" s="11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>
      <c r="A81" s="11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>
      <c r="A82" s="11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>
      <c r="A83" s="11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>
      <c r="A84" s="11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>
      <c r="A85" s="11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>
      <c r="A86" s="11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>
      <c r="A87" s="11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>
      <c r="A88" s="11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>
      <c r="A89" s="11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>
      <c r="A90" s="11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>
      <c r="A91" s="11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>
      <c r="A92" s="11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>
      <c r="A93" s="11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>
      <c r="A94" s="11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>
      <c r="A95" s="11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>
      <c r="A96" s="11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>
      <c r="A97" s="11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>
      <c r="A98" s="11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>
      <c r="A99" s="11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>
      <c r="A100" s="11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>
      <c r="A101" s="11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>
      <c r="A102" s="11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>
      <c r="A103" s="11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>
      <c r="A104" s="11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>
      <c r="A105" s="11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>
      <c r="A106" s="11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>
      <c r="A107" s="19"/>
      <c r="B107" s="20"/>
      <c r="C107" s="20"/>
      <c r="D107" s="20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8.75">
      <c r="A108" s="21"/>
      <c r="B108" s="21"/>
      <c r="C108" s="21"/>
      <c r="D108" s="21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ht="15.75">
      <c r="A109" s="19"/>
      <c r="B109" s="19"/>
      <c r="C109" s="19"/>
      <c r="D109" s="19"/>
      <c r="E109" s="13"/>
      <c r="F109" s="13"/>
      <c r="G109" s="13"/>
      <c r="H109" s="13"/>
      <c r="I109" s="13"/>
      <c r="J109" s="13"/>
      <c r="K109" s="13"/>
      <c r="L109" s="13"/>
      <c r="M109" s="13"/>
    </row>
  </sheetData>
  <sheetProtection/>
  <mergeCells count="17">
    <mergeCell ref="W3:W7"/>
    <mergeCell ref="B6:B7"/>
    <mergeCell ref="E3:K3"/>
    <mergeCell ref="L3:L7"/>
    <mergeCell ref="M3:M7"/>
    <mergeCell ref="N3:U4"/>
    <mergeCell ref="V3:V7"/>
    <mergeCell ref="N1:O1"/>
    <mergeCell ref="D3:D7"/>
    <mergeCell ref="A62:E62"/>
    <mergeCell ref="N5:T5"/>
    <mergeCell ref="U5:U7"/>
    <mergeCell ref="A1:K1"/>
    <mergeCell ref="E4:K4"/>
    <mergeCell ref="A3:A7"/>
    <mergeCell ref="B3:B5"/>
    <mergeCell ref="C3:C7"/>
  </mergeCells>
  <printOptions horizontalCentered="1"/>
  <pageMargins left="0" right="0" top="0" bottom="0" header="0" footer="0"/>
  <pageSetup horizontalDpi="600" verticalDpi="600" orientation="landscape" paperSize="9" scale="50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"/>
  <sheetViews>
    <sheetView view="pageBreakPreview" zoomScale="82" zoomScaleNormal="74" zoomScaleSheetLayoutView="82" zoomScalePageLayoutView="0" workbookViewId="0" topLeftCell="A1">
      <pane xSplit="2" ySplit="6" topLeftCell="G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" sqref="L2:L6"/>
    </sheetView>
  </sheetViews>
  <sheetFormatPr defaultColWidth="9.140625" defaultRowHeight="12.75"/>
  <cols>
    <col min="1" max="1" width="9.00390625" style="165" customWidth="1"/>
    <col min="2" max="2" width="36.140625" style="165" customWidth="1"/>
    <col min="3" max="3" width="25.140625" style="165" customWidth="1"/>
    <col min="4" max="4" width="21.7109375" style="159" customWidth="1"/>
    <col min="5" max="5" width="23.00390625" style="159" customWidth="1"/>
    <col min="6" max="6" width="20.57421875" style="159" customWidth="1"/>
    <col min="7" max="7" width="22.7109375" style="159" customWidth="1"/>
    <col min="8" max="8" width="23.8515625" style="159" customWidth="1"/>
    <col min="9" max="9" width="23.28125" style="159" customWidth="1"/>
    <col min="10" max="11" width="21.28125" style="159" customWidth="1"/>
    <col min="12" max="12" width="24.00390625" style="159" customWidth="1"/>
    <col min="13" max="13" width="12.57421875" style="160" customWidth="1"/>
    <col min="14" max="14" width="12.421875" style="159" customWidth="1"/>
    <col min="15" max="16384" width="9.140625" style="159" customWidth="1"/>
  </cols>
  <sheetData>
    <row r="1" spans="1:13" s="104" customFormat="1" ht="18.75">
      <c r="A1" s="271"/>
      <c r="B1" s="271"/>
      <c r="C1" s="271"/>
      <c r="D1" s="271"/>
      <c r="E1" s="271"/>
      <c r="F1" s="271"/>
      <c r="L1" s="104" t="s">
        <v>99</v>
      </c>
      <c r="M1" s="105"/>
    </row>
    <row r="2" spans="1:13" s="111" customFormat="1" ht="15.75" customHeight="1">
      <c r="A2" s="287" t="s">
        <v>79</v>
      </c>
      <c r="B2" s="277" t="s">
        <v>75</v>
      </c>
      <c r="C2" s="108"/>
      <c r="D2" s="279" t="s">
        <v>77</v>
      </c>
      <c r="E2" s="279"/>
      <c r="F2" s="279"/>
      <c r="G2" s="279"/>
      <c r="H2" s="279"/>
      <c r="I2" s="279"/>
      <c r="J2" s="290" t="s">
        <v>83</v>
      </c>
      <c r="K2" s="290" t="s">
        <v>84</v>
      </c>
      <c r="L2" s="290" t="s">
        <v>88</v>
      </c>
      <c r="M2" s="110"/>
    </row>
    <row r="3" spans="1:14" s="111" customFormat="1" ht="36.75" customHeight="1">
      <c r="A3" s="288"/>
      <c r="B3" s="278"/>
      <c r="C3" s="280" t="s">
        <v>86</v>
      </c>
      <c r="D3" s="279"/>
      <c r="E3" s="279"/>
      <c r="F3" s="279"/>
      <c r="G3" s="279"/>
      <c r="H3" s="279"/>
      <c r="I3" s="279"/>
      <c r="J3" s="290"/>
      <c r="K3" s="290"/>
      <c r="L3" s="290"/>
      <c r="M3" s="277"/>
      <c r="N3" s="277"/>
    </row>
    <row r="4" spans="1:14" s="111" customFormat="1" ht="62.25" customHeight="1">
      <c r="A4" s="288"/>
      <c r="B4" s="278"/>
      <c r="C4" s="281"/>
      <c r="D4" s="314" t="s">
        <v>47</v>
      </c>
      <c r="E4" s="315"/>
      <c r="F4" s="315"/>
      <c r="G4" s="315"/>
      <c r="H4" s="315"/>
      <c r="I4" s="315"/>
      <c r="J4" s="290"/>
      <c r="K4" s="290"/>
      <c r="L4" s="290"/>
      <c r="M4" s="278"/>
      <c r="N4" s="278"/>
    </row>
    <row r="5" spans="1:14" s="111" customFormat="1" ht="65.25" customHeight="1">
      <c r="A5" s="288"/>
      <c r="B5" s="276" t="s">
        <v>74</v>
      </c>
      <c r="C5" s="281"/>
      <c r="D5" s="176" t="s">
        <v>49</v>
      </c>
      <c r="E5" s="177" t="s">
        <v>50</v>
      </c>
      <c r="F5" s="176" t="s">
        <v>51</v>
      </c>
      <c r="G5" s="176" t="s">
        <v>56</v>
      </c>
      <c r="H5" s="176" t="s">
        <v>57</v>
      </c>
      <c r="I5" s="175" t="s">
        <v>52</v>
      </c>
      <c r="J5" s="290"/>
      <c r="K5" s="290"/>
      <c r="L5" s="290"/>
      <c r="M5" s="278"/>
      <c r="N5" s="278"/>
    </row>
    <row r="6" spans="1:14" s="111" customFormat="1" ht="85.5" customHeight="1">
      <c r="A6" s="289"/>
      <c r="B6" s="276"/>
      <c r="C6" s="281"/>
      <c r="D6" s="178" t="s">
        <v>45</v>
      </c>
      <c r="E6" s="178" t="s">
        <v>45</v>
      </c>
      <c r="F6" s="178" t="s">
        <v>45</v>
      </c>
      <c r="G6" s="178" t="s">
        <v>45</v>
      </c>
      <c r="H6" s="178" t="s">
        <v>45</v>
      </c>
      <c r="I6" s="179" t="s">
        <v>45</v>
      </c>
      <c r="J6" s="290"/>
      <c r="K6" s="290"/>
      <c r="L6" s="290"/>
      <c r="M6" s="284"/>
      <c r="N6" s="284"/>
    </row>
    <row r="7" spans="1:15" s="104" customFormat="1" ht="15.75">
      <c r="A7" s="180">
        <v>1</v>
      </c>
      <c r="B7" s="181" t="s">
        <v>0</v>
      </c>
      <c r="C7" s="254">
        <v>2</v>
      </c>
      <c r="D7" s="182">
        <v>5610</v>
      </c>
      <c r="E7" s="183">
        <v>1020</v>
      </c>
      <c r="F7" s="184">
        <v>2040</v>
      </c>
      <c r="G7" s="185"/>
      <c r="H7" s="185">
        <v>3060</v>
      </c>
      <c r="I7" s="186"/>
      <c r="J7" s="187">
        <v>1</v>
      </c>
      <c r="K7" s="188">
        <v>2.22</v>
      </c>
      <c r="L7" s="189">
        <f>ROUND((D7+E7+F7+G7+H7+I7)*J7*K7/1000,1)+0.1</f>
        <v>26.1</v>
      </c>
      <c r="M7" s="190"/>
      <c r="N7" s="191"/>
      <c r="O7" s="192"/>
    </row>
    <row r="8" spans="1:15" s="104" customFormat="1" ht="15.75">
      <c r="A8" s="193">
        <v>2</v>
      </c>
      <c r="B8" s="181" t="s">
        <v>62</v>
      </c>
      <c r="C8" s="194">
        <v>3</v>
      </c>
      <c r="D8" s="186">
        <v>2625</v>
      </c>
      <c r="E8" s="185">
        <v>3675</v>
      </c>
      <c r="F8" s="184">
        <v>1575</v>
      </c>
      <c r="G8" s="185"/>
      <c r="H8" s="185">
        <v>5250</v>
      </c>
      <c r="I8" s="186">
        <v>1050</v>
      </c>
      <c r="J8" s="187">
        <v>1</v>
      </c>
      <c r="K8" s="188">
        <v>2.903</v>
      </c>
      <c r="L8" s="189">
        <f>ROUND((D8+E8+F8+G8+H8+I8)*J8*K8/1000,1)</f>
        <v>41.2</v>
      </c>
      <c r="M8" s="190"/>
      <c r="N8" s="191"/>
      <c r="O8" s="192"/>
    </row>
    <row r="9" spans="1:15" s="104" customFormat="1" ht="15.75">
      <c r="A9" s="193">
        <v>3</v>
      </c>
      <c r="B9" s="181" t="s">
        <v>1</v>
      </c>
      <c r="C9" s="194">
        <v>2</v>
      </c>
      <c r="D9" s="186">
        <v>4200</v>
      </c>
      <c r="E9" s="185"/>
      <c r="F9" s="184">
        <v>1050</v>
      </c>
      <c r="G9" s="185">
        <v>2625</v>
      </c>
      <c r="H9" s="185">
        <v>3675</v>
      </c>
      <c r="I9" s="186">
        <v>2100</v>
      </c>
      <c r="J9" s="187">
        <v>1</v>
      </c>
      <c r="K9" s="188">
        <v>1.773</v>
      </c>
      <c r="L9" s="189">
        <f>ROUND((D9+E9+F9+G9+H9+I9)*J9*K9/1000,1)+0.1</f>
        <v>24.3</v>
      </c>
      <c r="M9" s="190"/>
      <c r="N9" s="191"/>
      <c r="O9" s="192"/>
    </row>
    <row r="10" spans="1:15" s="104" customFormat="1" ht="15.75">
      <c r="A10" s="193">
        <v>4</v>
      </c>
      <c r="B10" s="181" t="s">
        <v>2</v>
      </c>
      <c r="C10" s="194">
        <v>5</v>
      </c>
      <c r="D10" s="195">
        <v>1050</v>
      </c>
      <c r="E10" s="196">
        <v>1050</v>
      </c>
      <c r="F10" s="197">
        <v>1575</v>
      </c>
      <c r="G10" s="196"/>
      <c r="H10" s="196">
        <v>1920</v>
      </c>
      <c r="I10" s="195">
        <v>720</v>
      </c>
      <c r="J10" s="187">
        <v>1</v>
      </c>
      <c r="K10" s="188">
        <v>5.218</v>
      </c>
      <c r="L10" s="189">
        <f>ROUND((D10+E10+F10+G10+H10+I10)*J10*K10/1000,1)+0.1</f>
        <v>33.1</v>
      </c>
      <c r="M10" s="190"/>
      <c r="N10" s="191"/>
      <c r="O10" s="192"/>
    </row>
    <row r="11" spans="1:15" s="104" customFormat="1" ht="15.75">
      <c r="A11" s="193">
        <v>5</v>
      </c>
      <c r="B11" s="181" t="s">
        <v>61</v>
      </c>
      <c r="C11" s="194"/>
      <c r="D11" s="186"/>
      <c r="E11" s="185"/>
      <c r="F11" s="184"/>
      <c r="G11" s="185"/>
      <c r="H11" s="185"/>
      <c r="I11" s="186"/>
      <c r="J11" s="187">
        <v>1</v>
      </c>
      <c r="K11" s="188"/>
      <c r="L11" s="189"/>
      <c r="M11" s="190"/>
      <c r="N11" s="191"/>
      <c r="O11" s="192"/>
    </row>
    <row r="12" spans="1:15" s="104" customFormat="1" ht="15.75">
      <c r="A12" s="193">
        <v>6</v>
      </c>
      <c r="B12" s="181" t="s">
        <v>3</v>
      </c>
      <c r="C12" s="194">
        <v>5</v>
      </c>
      <c r="D12" s="186">
        <v>3168</v>
      </c>
      <c r="E12" s="185">
        <v>864</v>
      </c>
      <c r="F12" s="184">
        <v>256</v>
      </c>
      <c r="G12" s="185"/>
      <c r="H12" s="185">
        <v>240</v>
      </c>
      <c r="I12" s="186">
        <v>960</v>
      </c>
      <c r="J12" s="187">
        <v>1</v>
      </c>
      <c r="K12" s="188">
        <v>5.357</v>
      </c>
      <c r="L12" s="189">
        <f>ROUND((D12+E12+F12+G12+H12+I12)*J12*K12/1000,1)</f>
        <v>29.4</v>
      </c>
      <c r="M12" s="190"/>
      <c r="N12" s="191"/>
      <c r="O12" s="192"/>
    </row>
    <row r="13" spans="1:15" s="104" customFormat="1" ht="15.75" customHeight="1">
      <c r="A13" s="193">
        <v>7</v>
      </c>
      <c r="B13" s="181" t="s">
        <v>4</v>
      </c>
      <c r="C13" s="194">
        <v>2</v>
      </c>
      <c r="D13" s="186">
        <v>3675</v>
      </c>
      <c r="E13" s="185">
        <v>2100</v>
      </c>
      <c r="F13" s="184">
        <v>1050</v>
      </c>
      <c r="G13" s="185"/>
      <c r="H13" s="185">
        <v>4200</v>
      </c>
      <c r="I13" s="186">
        <v>3150</v>
      </c>
      <c r="J13" s="187">
        <v>1</v>
      </c>
      <c r="K13" s="188">
        <v>2.298</v>
      </c>
      <c r="L13" s="189">
        <f>ROUND((D13+E13+F13+G13+H13+I13)*J13*K13/1000,1)+0.1</f>
        <v>32.7</v>
      </c>
      <c r="M13" s="190"/>
      <c r="N13" s="191"/>
      <c r="O13" s="192"/>
    </row>
    <row r="14" spans="1:15" s="201" customFormat="1" ht="15.75">
      <c r="A14" s="198">
        <v>8</v>
      </c>
      <c r="B14" s="199" t="s">
        <v>5</v>
      </c>
      <c r="C14" s="200">
        <v>6</v>
      </c>
      <c r="D14" s="186">
        <v>2480</v>
      </c>
      <c r="E14" s="185">
        <v>720</v>
      </c>
      <c r="F14" s="184">
        <v>1440</v>
      </c>
      <c r="G14" s="185"/>
      <c r="H14" s="185">
        <v>1888</v>
      </c>
      <c r="I14" s="186">
        <v>560</v>
      </c>
      <c r="J14" s="187">
        <v>1</v>
      </c>
      <c r="K14" s="188">
        <v>5.926</v>
      </c>
      <c r="L14" s="189">
        <f>ROUND((D14+E14+F14+G14+H14+I14)*J14*K14/1000,1)</f>
        <v>42</v>
      </c>
      <c r="M14" s="190"/>
      <c r="N14" s="191"/>
      <c r="O14" s="192"/>
    </row>
    <row r="15" spans="1:15" s="104" customFormat="1" ht="15.75">
      <c r="A15" s="193">
        <v>9</v>
      </c>
      <c r="B15" s="181" t="s">
        <v>6</v>
      </c>
      <c r="C15" s="194"/>
      <c r="D15" s="186"/>
      <c r="E15" s="185"/>
      <c r="F15" s="184"/>
      <c r="G15" s="185"/>
      <c r="H15" s="185"/>
      <c r="I15" s="186"/>
      <c r="J15" s="187">
        <v>1</v>
      </c>
      <c r="K15" s="188"/>
      <c r="L15" s="189"/>
      <c r="M15" s="190"/>
      <c r="N15" s="191"/>
      <c r="O15" s="192"/>
    </row>
    <row r="16" spans="1:15" s="104" customFormat="1" ht="15.75">
      <c r="A16" s="198">
        <v>10</v>
      </c>
      <c r="B16" s="202" t="s">
        <v>7</v>
      </c>
      <c r="C16" s="203">
        <v>4</v>
      </c>
      <c r="D16" s="186">
        <v>2550</v>
      </c>
      <c r="E16" s="185">
        <v>2040</v>
      </c>
      <c r="F16" s="184"/>
      <c r="G16" s="185"/>
      <c r="H16" s="185">
        <v>1530</v>
      </c>
      <c r="I16" s="186">
        <v>3060</v>
      </c>
      <c r="J16" s="187">
        <v>1</v>
      </c>
      <c r="K16" s="188">
        <v>3.668</v>
      </c>
      <c r="L16" s="189">
        <f>ROUND((D16+E16+F16+G16+H16+I16)*J16*K16/1000,1)</f>
        <v>33.7</v>
      </c>
      <c r="M16" s="190"/>
      <c r="N16" s="191"/>
      <c r="O16" s="192"/>
    </row>
    <row r="17" spans="1:15" s="104" customFormat="1" ht="15.75">
      <c r="A17" s="193">
        <v>11</v>
      </c>
      <c r="B17" s="202" t="s">
        <v>8</v>
      </c>
      <c r="C17" s="203">
        <v>1</v>
      </c>
      <c r="D17" s="186">
        <v>4725</v>
      </c>
      <c r="E17" s="185">
        <v>4725</v>
      </c>
      <c r="F17" s="184">
        <v>2100</v>
      </c>
      <c r="G17" s="185"/>
      <c r="H17" s="185">
        <v>18450</v>
      </c>
      <c r="I17" s="186">
        <v>2100</v>
      </c>
      <c r="J17" s="187">
        <v>1</v>
      </c>
      <c r="K17" s="188">
        <v>0.873</v>
      </c>
      <c r="L17" s="189">
        <f>ROUND((D17+E17+F17+G17+H17+I17)*J17*K17/1000,1)+0.1</f>
        <v>28.1</v>
      </c>
      <c r="M17" s="190"/>
      <c r="N17" s="191"/>
      <c r="O17" s="192"/>
    </row>
    <row r="18" spans="1:15" s="104" customFormat="1" ht="15.75">
      <c r="A18" s="198">
        <v>12</v>
      </c>
      <c r="B18" s="202" t="s">
        <v>9</v>
      </c>
      <c r="C18" s="203">
        <v>1</v>
      </c>
      <c r="D18" s="186">
        <v>13260</v>
      </c>
      <c r="E18" s="185">
        <v>3150</v>
      </c>
      <c r="F18" s="184">
        <v>3150</v>
      </c>
      <c r="G18" s="185"/>
      <c r="H18" s="185">
        <v>4200</v>
      </c>
      <c r="I18" s="186">
        <v>8120</v>
      </c>
      <c r="J18" s="187">
        <v>1</v>
      </c>
      <c r="K18" s="188">
        <v>1.04</v>
      </c>
      <c r="L18" s="189">
        <f>ROUND((D18+E18+F18+G18+H18+I18)*J18*K18/1000,1)</f>
        <v>33.2</v>
      </c>
      <c r="M18" s="190"/>
      <c r="N18" s="191"/>
      <c r="O18" s="192"/>
    </row>
    <row r="19" spans="1:15" s="104" customFormat="1" ht="15.75">
      <c r="A19" s="193">
        <v>13</v>
      </c>
      <c r="B19" s="202" t="s">
        <v>10</v>
      </c>
      <c r="C19" s="203">
        <v>3</v>
      </c>
      <c r="D19" s="186">
        <v>4200</v>
      </c>
      <c r="E19" s="185">
        <v>4200</v>
      </c>
      <c r="F19" s="184">
        <v>1050</v>
      </c>
      <c r="G19" s="185"/>
      <c r="H19" s="185">
        <v>5530</v>
      </c>
      <c r="I19" s="186">
        <v>1050</v>
      </c>
      <c r="J19" s="187">
        <v>1</v>
      </c>
      <c r="K19" s="188">
        <v>2.662</v>
      </c>
      <c r="L19" s="189">
        <f>ROUND((D19+E19+F19+G19+H19+I19)*J19*K19/1000,1)</f>
        <v>42.7</v>
      </c>
      <c r="M19" s="190"/>
      <c r="N19" s="191"/>
      <c r="O19" s="192"/>
    </row>
    <row r="20" spans="1:15" s="104" customFormat="1" ht="19.5" customHeight="1">
      <c r="A20" s="198">
        <v>14</v>
      </c>
      <c r="B20" s="202" t="s">
        <v>11</v>
      </c>
      <c r="C20" s="203">
        <v>4</v>
      </c>
      <c r="D20" s="186">
        <v>1050</v>
      </c>
      <c r="E20" s="185"/>
      <c r="F20" s="184">
        <v>1050</v>
      </c>
      <c r="G20" s="185"/>
      <c r="H20" s="185">
        <v>1575</v>
      </c>
      <c r="I20" s="186">
        <v>1050</v>
      </c>
      <c r="J20" s="187">
        <v>1</v>
      </c>
      <c r="K20" s="188">
        <v>3.926</v>
      </c>
      <c r="L20" s="189">
        <f>ROUND((D20+E20+F20+G20+H20+I20)*J20*K20/1000,1)-0.1</f>
        <v>18.5</v>
      </c>
      <c r="M20" s="190"/>
      <c r="N20" s="191"/>
      <c r="O20" s="192"/>
    </row>
    <row r="21" spans="1:15" s="104" customFormat="1" ht="15.75">
      <c r="A21" s="193">
        <v>15</v>
      </c>
      <c r="B21" s="202" t="s">
        <v>12</v>
      </c>
      <c r="C21" s="203">
        <v>3</v>
      </c>
      <c r="D21" s="186">
        <v>6355</v>
      </c>
      <c r="E21" s="185">
        <v>2975</v>
      </c>
      <c r="F21" s="184">
        <v>2800</v>
      </c>
      <c r="G21" s="185"/>
      <c r="H21" s="185">
        <v>3675</v>
      </c>
      <c r="I21" s="186">
        <v>1400</v>
      </c>
      <c r="J21" s="187">
        <v>1</v>
      </c>
      <c r="K21" s="188">
        <v>2.646</v>
      </c>
      <c r="L21" s="189">
        <f>ROUND((D21+E21+F21+G21+H21+I21)*J21*K21/1000,1)</f>
        <v>45.5</v>
      </c>
      <c r="M21" s="190"/>
      <c r="N21" s="191"/>
      <c r="O21" s="192"/>
    </row>
    <row r="22" spans="1:15" s="205" customFormat="1" ht="15.75" customHeight="1">
      <c r="A22" s="198">
        <v>16</v>
      </c>
      <c r="B22" s="133" t="s">
        <v>13</v>
      </c>
      <c r="C22" s="204"/>
      <c r="D22" s="169"/>
      <c r="E22" s="169"/>
      <c r="F22" s="169"/>
      <c r="G22" s="169"/>
      <c r="H22" s="169"/>
      <c r="I22" s="169"/>
      <c r="J22" s="187">
        <v>1</v>
      </c>
      <c r="K22" s="188"/>
      <c r="L22" s="189"/>
      <c r="M22" s="190"/>
      <c r="N22" s="191"/>
      <c r="O22" s="192"/>
    </row>
    <row r="23" spans="1:15" s="126" customFormat="1" ht="19.5" customHeight="1">
      <c r="A23" s="193">
        <v>17</v>
      </c>
      <c r="B23" s="133" t="s">
        <v>14</v>
      </c>
      <c r="C23" s="204">
        <v>2</v>
      </c>
      <c r="D23" s="206">
        <v>2040</v>
      </c>
      <c r="E23" s="207">
        <v>525</v>
      </c>
      <c r="F23" s="168">
        <v>1515</v>
      </c>
      <c r="G23" s="207"/>
      <c r="H23" s="207">
        <v>2010</v>
      </c>
      <c r="I23" s="206">
        <v>510</v>
      </c>
      <c r="J23" s="187">
        <v>1</v>
      </c>
      <c r="K23" s="188">
        <v>2.311</v>
      </c>
      <c r="L23" s="189">
        <f>ROUND((D23+E23+F23+G23+H23+I23)*J23*K23/1000,1)</f>
        <v>15.3</v>
      </c>
      <c r="M23" s="190"/>
      <c r="N23" s="191"/>
      <c r="O23" s="192"/>
    </row>
    <row r="24" spans="1:15" s="104" customFormat="1" ht="15.75">
      <c r="A24" s="198">
        <v>18</v>
      </c>
      <c r="B24" s="202" t="s">
        <v>15</v>
      </c>
      <c r="C24" s="203">
        <v>1</v>
      </c>
      <c r="D24" s="186">
        <v>1680</v>
      </c>
      <c r="E24" s="185"/>
      <c r="F24" s="184">
        <v>5985</v>
      </c>
      <c r="G24" s="185"/>
      <c r="H24" s="185">
        <v>3220</v>
      </c>
      <c r="I24" s="186">
        <v>1540</v>
      </c>
      <c r="J24" s="187">
        <v>1</v>
      </c>
      <c r="K24" s="188">
        <v>1.1</v>
      </c>
      <c r="L24" s="189">
        <f>ROUND((D24+E24+F24+G24+H24+I24)*J24*K24/1000,1)</f>
        <v>13.7</v>
      </c>
      <c r="M24" s="190"/>
      <c r="N24" s="191"/>
      <c r="O24" s="192"/>
    </row>
    <row r="25" spans="1:15" s="205" customFormat="1" ht="21" customHeight="1">
      <c r="A25" s="193">
        <v>19</v>
      </c>
      <c r="B25" s="133" t="s">
        <v>16</v>
      </c>
      <c r="C25" s="204">
        <v>6</v>
      </c>
      <c r="D25" s="186"/>
      <c r="E25" s="185">
        <v>1575</v>
      </c>
      <c r="F25" s="184"/>
      <c r="G25" s="185"/>
      <c r="H25" s="185">
        <v>2100</v>
      </c>
      <c r="I25" s="186">
        <v>2625</v>
      </c>
      <c r="J25" s="187">
        <v>1</v>
      </c>
      <c r="K25" s="188">
        <v>5.602</v>
      </c>
      <c r="L25" s="189">
        <f>ROUND((D25+E25+F25+G25+H25+I25)*J25*K25/1000,1)+0.1</f>
        <v>35.4</v>
      </c>
      <c r="M25" s="190"/>
      <c r="N25" s="191"/>
      <c r="O25" s="192"/>
    </row>
    <row r="26" spans="1:15" s="104" customFormat="1" ht="15.75">
      <c r="A26" s="198">
        <v>20</v>
      </c>
      <c r="B26" s="202" t="s">
        <v>17</v>
      </c>
      <c r="C26" s="203">
        <v>7</v>
      </c>
      <c r="D26" s="186">
        <v>1575</v>
      </c>
      <c r="E26" s="185">
        <v>525</v>
      </c>
      <c r="F26" s="184"/>
      <c r="G26" s="185"/>
      <c r="H26" s="185">
        <v>1575</v>
      </c>
      <c r="I26" s="186">
        <v>1050</v>
      </c>
      <c r="J26" s="187">
        <v>1</v>
      </c>
      <c r="K26" s="188">
        <v>6.847</v>
      </c>
      <c r="L26" s="189">
        <f>ROUND((D26+E26+F26+G26+H26+I26)*J26*K26/1000,1)</f>
        <v>32.4</v>
      </c>
      <c r="M26" s="190"/>
      <c r="N26" s="191"/>
      <c r="O26" s="192"/>
    </row>
    <row r="27" spans="1:15" s="104" customFormat="1" ht="15.75">
      <c r="A27" s="193">
        <v>21</v>
      </c>
      <c r="B27" s="202" t="s">
        <v>18</v>
      </c>
      <c r="C27" s="203">
        <v>5</v>
      </c>
      <c r="D27" s="186">
        <v>4725</v>
      </c>
      <c r="E27" s="185"/>
      <c r="F27" s="184"/>
      <c r="G27" s="185"/>
      <c r="H27" s="185"/>
      <c r="I27" s="186"/>
      <c r="J27" s="187">
        <v>1</v>
      </c>
      <c r="K27" s="188">
        <v>4.633</v>
      </c>
      <c r="L27" s="189">
        <f>ROUND((D27+E27+F27+G27+H27+I27)*J27*K27/1000,1)</f>
        <v>21.9</v>
      </c>
      <c r="M27" s="190"/>
      <c r="N27" s="191"/>
      <c r="O27" s="192"/>
    </row>
    <row r="28" spans="1:15" s="126" customFormat="1" ht="15" customHeight="1">
      <c r="A28" s="198">
        <v>22</v>
      </c>
      <c r="B28" s="133" t="s">
        <v>19</v>
      </c>
      <c r="C28" s="204">
        <v>7</v>
      </c>
      <c r="D28" s="206">
        <v>525</v>
      </c>
      <c r="E28" s="207">
        <v>1050</v>
      </c>
      <c r="F28" s="168">
        <v>525</v>
      </c>
      <c r="G28" s="207"/>
      <c r="H28" s="207">
        <v>1050</v>
      </c>
      <c r="I28" s="206">
        <v>1575</v>
      </c>
      <c r="J28" s="187">
        <v>1</v>
      </c>
      <c r="K28" s="188">
        <v>7.471</v>
      </c>
      <c r="L28" s="189">
        <f>ROUND((D28+E28+F28+G28+H28+I28)*J28*K28/1000,1)+0.1</f>
        <v>35.4</v>
      </c>
      <c r="M28" s="190"/>
      <c r="N28" s="191"/>
      <c r="O28" s="192"/>
    </row>
    <row r="29" spans="1:15" s="205" customFormat="1" ht="18.75" customHeight="1">
      <c r="A29" s="193">
        <v>23</v>
      </c>
      <c r="B29" s="133" t="s">
        <v>20</v>
      </c>
      <c r="C29" s="204">
        <v>2</v>
      </c>
      <c r="D29" s="186">
        <v>4235</v>
      </c>
      <c r="E29" s="185">
        <v>1050</v>
      </c>
      <c r="F29" s="184">
        <v>910</v>
      </c>
      <c r="G29" s="185"/>
      <c r="H29" s="185">
        <v>1750</v>
      </c>
      <c r="I29" s="186">
        <v>980</v>
      </c>
      <c r="J29" s="187">
        <v>1</v>
      </c>
      <c r="K29" s="188">
        <v>2.267</v>
      </c>
      <c r="L29" s="189">
        <f>ROUND((D29+E29+F29+G29+H29+I29)*J29*K29/1000,1)+0.1</f>
        <v>20.3</v>
      </c>
      <c r="M29" s="190"/>
      <c r="N29" s="191"/>
      <c r="O29" s="192"/>
    </row>
    <row r="30" spans="1:15" s="104" customFormat="1" ht="15.75">
      <c r="A30" s="198">
        <v>24</v>
      </c>
      <c r="B30" s="202" t="s">
        <v>21</v>
      </c>
      <c r="C30" s="203">
        <v>5</v>
      </c>
      <c r="D30" s="186">
        <v>1260</v>
      </c>
      <c r="E30" s="185">
        <v>315</v>
      </c>
      <c r="F30" s="184">
        <v>1470</v>
      </c>
      <c r="G30" s="185"/>
      <c r="H30" s="185">
        <v>1050</v>
      </c>
      <c r="I30" s="186">
        <v>245</v>
      </c>
      <c r="J30" s="187">
        <v>1</v>
      </c>
      <c r="K30" s="188">
        <v>4.901</v>
      </c>
      <c r="L30" s="189">
        <f>ROUND((D30+E30+F30+G30+H30+I30)*J30*K30/1000,1)+0.1</f>
        <v>21.400000000000002</v>
      </c>
      <c r="M30" s="190"/>
      <c r="N30" s="191"/>
      <c r="O30" s="192"/>
    </row>
    <row r="31" spans="1:15" s="104" customFormat="1" ht="15.75">
      <c r="A31" s="193">
        <v>25</v>
      </c>
      <c r="B31" s="202" t="s">
        <v>22</v>
      </c>
      <c r="C31" s="203">
        <v>6</v>
      </c>
      <c r="D31" s="186">
        <v>1575</v>
      </c>
      <c r="E31" s="185"/>
      <c r="F31" s="184">
        <v>1575</v>
      </c>
      <c r="G31" s="185"/>
      <c r="H31" s="185">
        <v>1575</v>
      </c>
      <c r="I31" s="186"/>
      <c r="J31" s="187">
        <v>1</v>
      </c>
      <c r="K31" s="188">
        <v>5.734</v>
      </c>
      <c r="L31" s="189">
        <f>ROUND((D31+E31+F31+G31+H31+I31)*J31*K31/1000,1)</f>
        <v>27.1</v>
      </c>
      <c r="M31" s="190"/>
      <c r="N31" s="191"/>
      <c r="O31" s="192"/>
    </row>
    <row r="32" spans="1:15" s="104" customFormat="1" ht="15.75">
      <c r="A32" s="198">
        <v>26</v>
      </c>
      <c r="B32" s="202" t="s">
        <v>23</v>
      </c>
      <c r="C32" s="203">
        <v>5</v>
      </c>
      <c r="D32" s="208">
        <v>1656</v>
      </c>
      <c r="E32" s="185">
        <v>864</v>
      </c>
      <c r="F32" s="184">
        <v>1224</v>
      </c>
      <c r="G32" s="185"/>
      <c r="H32" s="185">
        <v>540</v>
      </c>
      <c r="I32" s="186">
        <v>1944</v>
      </c>
      <c r="J32" s="187">
        <v>1</v>
      </c>
      <c r="K32" s="188">
        <v>5.034</v>
      </c>
      <c r="L32" s="189">
        <f>ROUND((D32+E32+F32+G32+H32+I32)*J32*K32/1000,1)</f>
        <v>31.4</v>
      </c>
      <c r="M32" s="190"/>
      <c r="N32" s="191"/>
      <c r="O32" s="192"/>
    </row>
    <row r="33" spans="1:15" s="104" customFormat="1" ht="19.5" customHeight="1">
      <c r="A33" s="193">
        <v>27</v>
      </c>
      <c r="B33" s="202" t="s">
        <v>24</v>
      </c>
      <c r="C33" s="203">
        <v>6</v>
      </c>
      <c r="D33" s="186">
        <v>525</v>
      </c>
      <c r="E33" s="185">
        <v>525</v>
      </c>
      <c r="F33" s="184">
        <v>1050</v>
      </c>
      <c r="G33" s="185"/>
      <c r="H33" s="185">
        <v>1575</v>
      </c>
      <c r="I33" s="186">
        <v>1050</v>
      </c>
      <c r="J33" s="187">
        <v>1</v>
      </c>
      <c r="K33" s="188">
        <v>5.812</v>
      </c>
      <c r="L33" s="189">
        <f>ROUND((D33+E33+F33+G33+H33+I33)*J33*K33/1000,1)+0.1</f>
        <v>27.6</v>
      </c>
      <c r="M33" s="190"/>
      <c r="N33" s="191"/>
      <c r="O33" s="192"/>
    </row>
    <row r="34" spans="1:15" s="104" customFormat="1" ht="18" customHeight="1">
      <c r="A34" s="198">
        <v>28</v>
      </c>
      <c r="B34" s="202" t="s">
        <v>25</v>
      </c>
      <c r="C34" s="203">
        <v>18</v>
      </c>
      <c r="D34" s="186">
        <v>1050</v>
      </c>
      <c r="E34" s="185"/>
      <c r="F34" s="184">
        <v>525</v>
      </c>
      <c r="G34" s="185"/>
      <c r="H34" s="185"/>
      <c r="I34" s="186"/>
      <c r="J34" s="187">
        <v>1</v>
      </c>
      <c r="K34" s="188">
        <v>18.233</v>
      </c>
      <c r="L34" s="189">
        <f>ROUND((D34+E34+F34+G34+H34+I34)*J34*K34/1000,1)+0.1</f>
        <v>28.8</v>
      </c>
      <c r="M34" s="190"/>
      <c r="N34" s="191"/>
      <c r="O34" s="192"/>
    </row>
    <row r="35" spans="1:15" s="126" customFormat="1" ht="18.75" customHeight="1">
      <c r="A35" s="193">
        <v>29</v>
      </c>
      <c r="B35" s="133" t="s">
        <v>26</v>
      </c>
      <c r="C35" s="204">
        <v>3</v>
      </c>
      <c r="D35" s="206">
        <v>525</v>
      </c>
      <c r="E35" s="207">
        <v>700</v>
      </c>
      <c r="F35" s="168">
        <v>9450</v>
      </c>
      <c r="G35" s="207"/>
      <c r="H35" s="207">
        <v>5600</v>
      </c>
      <c r="I35" s="206">
        <v>2100</v>
      </c>
      <c r="J35" s="187">
        <v>1</v>
      </c>
      <c r="K35" s="188">
        <v>3.425</v>
      </c>
      <c r="L35" s="189">
        <f>ROUND((D35+E35+F35+G35+H35+I35)*J35*K35/1000,1)</f>
        <v>62.9</v>
      </c>
      <c r="M35" s="190"/>
      <c r="N35" s="191"/>
      <c r="O35" s="192"/>
    </row>
    <row r="36" spans="1:15" s="104" customFormat="1" ht="24" customHeight="1">
      <c r="A36" s="198">
        <v>30</v>
      </c>
      <c r="B36" s="202" t="s">
        <v>27</v>
      </c>
      <c r="C36" s="203">
        <v>4</v>
      </c>
      <c r="D36" s="186">
        <v>525</v>
      </c>
      <c r="E36" s="186"/>
      <c r="F36" s="184">
        <v>2100</v>
      </c>
      <c r="G36" s="207"/>
      <c r="H36" s="185">
        <v>2170</v>
      </c>
      <c r="I36" s="186"/>
      <c r="J36" s="187">
        <v>1</v>
      </c>
      <c r="K36" s="188">
        <v>4.363</v>
      </c>
      <c r="L36" s="189">
        <f>ROUND((D36+E36+F36+G36+H36+I36)*J36*K36/1000,1)+0.1</f>
        <v>21</v>
      </c>
      <c r="M36" s="190"/>
      <c r="N36" s="191"/>
      <c r="O36" s="192"/>
    </row>
    <row r="37" spans="1:15" s="104" customFormat="1" ht="15.75">
      <c r="A37" s="193">
        <v>31</v>
      </c>
      <c r="B37" s="202" t="s">
        <v>28</v>
      </c>
      <c r="C37" s="203">
        <v>7</v>
      </c>
      <c r="D37" s="186">
        <v>1050</v>
      </c>
      <c r="E37" s="185">
        <v>525</v>
      </c>
      <c r="F37" s="184">
        <v>525</v>
      </c>
      <c r="G37" s="185"/>
      <c r="H37" s="185">
        <v>525</v>
      </c>
      <c r="I37" s="186">
        <v>2100</v>
      </c>
      <c r="J37" s="187">
        <v>1</v>
      </c>
      <c r="K37" s="188">
        <v>6.952</v>
      </c>
      <c r="L37" s="189">
        <f>ROUND((D37+E37+F37+G37+H37+I37)*J37*K37/1000,1)</f>
        <v>32.8</v>
      </c>
      <c r="M37" s="190"/>
      <c r="N37" s="191"/>
      <c r="O37" s="192"/>
    </row>
    <row r="38" spans="1:15" s="104" customFormat="1" ht="15.75">
      <c r="A38" s="198">
        <v>32</v>
      </c>
      <c r="B38" s="202" t="s">
        <v>29</v>
      </c>
      <c r="C38" s="203">
        <v>8</v>
      </c>
      <c r="D38" s="186">
        <v>525</v>
      </c>
      <c r="E38" s="186"/>
      <c r="F38" s="186">
        <v>1050</v>
      </c>
      <c r="G38" s="186"/>
      <c r="H38" s="186">
        <v>2625</v>
      </c>
      <c r="I38" s="186">
        <v>525</v>
      </c>
      <c r="J38" s="187">
        <v>1</v>
      </c>
      <c r="K38" s="188">
        <v>7.914</v>
      </c>
      <c r="L38" s="189">
        <f>ROUND((D38+E38+F38+G38+H38+I38)*J38*K38/1000,1)+0.1</f>
        <v>37.5</v>
      </c>
      <c r="M38" s="190"/>
      <c r="N38" s="191"/>
      <c r="O38" s="192"/>
    </row>
    <row r="39" spans="1:15" s="104" customFormat="1" ht="15.75">
      <c r="A39" s="193">
        <v>33</v>
      </c>
      <c r="B39" s="202" t="s">
        <v>30</v>
      </c>
      <c r="C39" s="203"/>
      <c r="D39" s="209"/>
      <c r="E39" s="209"/>
      <c r="F39" s="209"/>
      <c r="G39" s="209"/>
      <c r="H39" s="209"/>
      <c r="I39" s="209"/>
      <c r="J39" s="187">
        <v>1</v>
      </c>
      <c r="K39" s="188"/>
      <c r="L39" s="189"/>
      <c r="M39" s="190"/>
      <c r="N39" s="191"/>
      <c r="O39" s="192"/>
    </row>
    <row r="40" spans="1:15" s="104" customFormat="1" ht="15.75">
      <c r="A40" s="198">
        <v>34</v>
      </c>
      <c r="B40" s="202" t="s">
        <v>31</v>
      </c>
      <c r="C40" s="203">
        <v>3</v>
      </c>
      <c r="D40" s="186">
        <v>4655</v>
      </c>
      <c r="E40" s="185"/>
      <c r="F40" s="184"/>
      <c r="G40" s="185"/>
      <c r="H40" s="185">
        <v>4130</v>
      </c>
      <c r="I40" s="186">
        <v>3360</v>
      </c>
      <c r="J40" s="187">
        <v>1</v>
      </c>
      <c r="K40" s="188">
        <v>3.052</v>
      </c>
      <c r="L40" s="189">
        <f>ROUND((D40+E40+F40+G40+H40+I40)*J40*K40/1000,1)+0.1</f>
        <v>37.2</v>
      </c>
      <c r="M40" s="190"/>
      <c r="N40" s="191"/>
      <c r="O40" s="192"/>
    </row>
    <row r="41" spans="1:15" s="205" customFormat="1" ht="22.5" customHeight="1">
      <c r="A41" s="193">
        <v>35</v>
      </c>
      <c r="B41" s="133" t="s">
        <v>32</v>
      </c>
      <c r="C41" s="204">
        <v>3</v>
      </c>
      <c r="D41" s="186">
        <v>3850</v>
      </c>
      <c r="E41" s="185">
        <v>525</v>
      </c>
      <c r="F41" s="184">
        <v>1575</v>
      </c>
      <c r="G41" s="185">
        <v>525</v>
      </c>
      <c r="H41" s="185">
        <v>4200</v>
      </c>
      <c r="I41" s="186">
        <v>980</v>
      </c>
      <c r="J41" s="187">
        <v>1</v>
      </c>
      <c r="K41" s="188">
        <v>3.457</v>
      </c>
      <c r="L41" s="189">
        <f>ROUND((D41+E41+F41+G41+H41+I41)*J41*K41/1000,1)+0.1</f>
        <v>40.4</v>
      </c>
      <c r="M41" s="190"/>
      <c r="N41" s="191"/>
      <c r="O41" s="192"/>
    </row>
    <row r="42" spans="1:15" s="104" customFormat="1" ht="21.75" customHeight="1">
      <c r="A42" s="198">
        <v>36</v>
      </c>
      <c r="B42" s="202" t="s">
        <v>33</v>
      </c>
      <c r="C42" s="203">
        <v>1</v>
      </c>
      <c r="D42" s="186">
        <v>510</v>
      </c>
      <c r="E42" s="185">
        <v>1020</v>
      </c>
      <c r="F42" s="184">
        <v>1020</v>
      </c>
      <c r="G42" s="185">
        <v>510</v>
      </c>
      <c r="H42" s="185">
        <v>4590</v>
      </c>
      <c r="I42" s="186">
        <v>1530</v>
      </c>
      <c r="J42" s="187">
        <v>1</v>
      </c>
      <c r="K42" s="188">
        <v>1.376</v>
      </c>
      <c r="L42" s="189">
        <f>ROUND((D42+E42+F42+G42+H42+I42)*J42*K42/1000,1)</f>
        <v>12.6</v>
      </c>
      <c r="M42" s="190"/>
      <c r="N42" s="191"/>
      <c r="O42" s="192"/>
    </row>
    <row r="43" spans="1:15" s="205" customFormat="1" ht="21" customHeight="1">
      <c r="A43" s="193">
        <v>37</v>
      </c>
      <c r="B43" s="133" t="s">
        <v>34</v>
      </c>
      <c r="C43" s="204">
        <v>2</v>
      </c>
      <c r="D43" s="186">
        <v>540</v>
      </c>
      <c r="E43" s="185">
        <v>370</v>
      </c>
      <c r="F43" s="184"/>
      <c r="G43" s="185">
        <v>2700</v>
      </c>
      <c r="H43" s="185">
        <v>740</v>
      </c>
      <c r="I43" s="186">
        <v>1700</v>
      </c>
      <c r="J43" s="187">
        <v>1</v>
      </c>
      <c r="K43" s="188">
        <v>1.682</v>
      </c>
      <c r="L43" s="189">
        <f>ROUND((D43+E43+F43+G43+H43+I43)*J43*K43/1000,1)+0.1</f>
        <v>10.299999999999999</v>
      </c>
      <c r="M43" s="190"/>
      <c r="N43" s="191"/>
      <c r="O43" s="192"/>
    </row>
    <row r="44" spans="1:15" s="205" customFormat="1" ht="15.75">
      <c r="A44" s="198">
        <v>38</v>
      </c>
      <c r="B44" s="133" t="s">
        <v>35</v>
      </c>
      <c r="C44" s="204">
        <v>4</v>
      </c>
      <c r="D44" s="210">
        <v>1575</v>
      </c>
      <c r="E44" s="211">
        <v>1575</v>
      </c>
      <c r="F44" s="212"/>
      <c r="G44" s="211"/>
      <c r="H44" s="211">
        <v>1575</v>
      </c>
      <c r="I44" s="210"/>
      <c r="J44" s="187">
        <v>1</v>
      </c>
      <c r="K44" s="213">
        <v>3.68</v>
      </c>
      <c r="L44" s="189">
        <f>ROUND((D44+E44+F44+G44+H44+I44)*J44*K44/1000,1)</f>
        <v>17.4</v>
      </c>
      <c r="M44" s="190"/>
      <c r="N44" s="191"/>
      <c r="O44" s="192"/>
    </row>
    <row r="45" spans="1:15" s="104" customFormat="1" ht="16.5" thickBot="1">
      <c r="A45" s="193">
        <v>39</v>
      </c>
      <c r="B45" s="214" t="s">
        <v>36</v>
      </c>
      <c r="C45" s="215">
        <v>3</v>
      </c>
      <c r="D45" s="211"/>
      <c r="E45" s="211">
        <v>525</v>
      </c>
      <c r="F45" s="211">
        <v>1400</v>
      </c>
      <c r="G45" s="211">
        <v>1050</v>
      </c>
      <c r="H45" s="211">
        <v>7420</v>
      </c>
      <c r="I45" s="211"/>
      <c r="J45" s="187">
        <v>1</v>
      </c>
      <c r="K45" s="213">
        <v>2.93</v>
      </c>
      <c r="L45" s="189">
        <f>ROUND((D45+E45+F45+G45+H45+I45)*J45*K45/1000,1)</f>
        <v>30.5</v>
      </c>
      <c r="M45" s="216"/>
      <c r="N45" s="191"/>
      <c r="O45" s="192"/>
    </row>
    <row r="46" spans="1:14" s="205" customFormat="1" ht="36" customHeight="1" thickBot="1">
      <c r="A46" s="139"/>
      <c r="B46" s="140" t="s">
        <v>78</v>
      </c>
      <c r="C46" s="217"/>
      <c r="D46" s="218">
        <f aca="true" t="shared" si="0" ref="D46:I46">SUM(D7:D45)</f>
        <v>89549</v>
      </c>
      <c r="E46" s="218">
        <f t="shared" si="0"/>
        <v>38188</v>
      </c>
      <c r="F46" s="218">
        <f t="shared" si="0"/>
        <v>51035</v>
      </c>
      <c r="G46" s="218">
        <f t="shared" si="0"/>
        <v>7410</v>
      </c>
      <c r="H46" s="218">
        <f t="shared" si="0"/>
        <v>105213</v>
      </c>
      <c r="I46" s="219">
        <f t="shared" si="0"/>
        <v>49134</v>
      </c>
      <c r="J46" s="220"/>
      <c r="K46" s="220"/>
      <c r="L46" s="189">
        <f>SUM(L7:L45)</f>
        <v>1043.7999999999997</v>
      </c>
      <c r="M46" s="189"/>
      <c r="N46" s="189"/>
    </row>
    <row r="47" spans="1:13" s="104" customFormat="1" ht="18" customHeight="1">
      <c r="A47" s="145"/>
      <c r="B47" s="146"/>
      <c r="C47" s="221"/>
      <c r="L47" s="222"/>
      <c r="M47" s="105"/>
    </row>
    <row r="48" spans="1:13" s="104" customFormat="1" ht="15.75">
      <c r="A48" s="150"/>
      <c r="B48" s="151"/>
      <c r="C48" s="151"/>
      <c r="D48" s="223"/>
      <c r="M48" s="223"/>
    </row>
    <row r="49" spans="1:13" s="104" customFormat="1" ht="15.75">
      <c r="A49" s="150"/>
      <c r="B49" s="151"/>
      <c r="C49" s="151"/>
      <c r="M49" s="105"/>
    </row>
    <row r="50" spans="1:13" s="104" customFormat="1" ht="15.75">
      <c r="A50" s="150"/>
      <c r="B50" s="151"/>
      <c r="C50" s="151"/>
      <c r="M50" s="105"/>
    </row>
    <row r="51" spans="1:13" s="104" customFormat="1" ht="15.75">
      <c r="A51" s="150"/>
      <c r="B51" s="151"/>
      <c r="C51" s="151"/>
      <c r="M51" s="105"/>
    </row>
    <row r="52" spans="1:13" s="104" customFormat="1" ht="15.75">
      <c r="A52" s="150"/>
      <c r="B52" s="153"/>
      <c r="C52" s="153"/>
      <c r="M52" s="105"/>
    </row>
    <row r="53" spans="1:13" s="104" customFormat="1" ht="15.75">
      <c r="A53" s="150"/>
      <c r="B53" s="153"/>
      <c r="C53" s="153"/>
      <c r="M53" s="105"/>
    </row>
    <row r="54" spans="1:13" s="104" customFormat="1" ht="16.5" customHeight="1">
      <c r="A54" s="150"/>
      <c r="B54" s="151"/>
      <c r="C54" s="151"/>
      <c r="M54" s="105"/>
    </row>
    <row r="55" spans="1:13" s="104" customFormat="1" ht="15.75">
      <c r="A55" s="150"/>
      <c r="B55" s="151"/>
      <c r="C55" s="151"/>
      <c r="M55" s="105"/>
    </row>
    <row r="56" spans="1:13" s="104" customFormat="1" ht="15.75">
      <c r="A56" s="150"/>
      <c r="B56" s="151"/>
      <c r="C56" s="151"/>
      <c r="M56" s="105"/>
    </row>
    <row r="57" spans="1:13" s="104" customFormat="1" ht="15.75">
      <c r="A57" s="150"/>
      <c r="B57" s="151"/>
      <c r="C57" s="151"/>
      <c r="M57" s="105"/>
    </row>
    <row r="58" spans="1:13" s="104" customFormat="1" ht="15.75">
      <c r="A58" s="150"/>
      <c r="B58" s="151"/>
      <c r="C58" s="151"/>
      <c r="M58" s="105"/>
    </row>
    <row r="59" spans="1:13" s="104" customFormat="1" ht="15.75">
      <c r="A59" s="150"/>
      <c r="B59" s="151"/>
      <c r="C59" s="151"/>
      <c r="M59" s="105"/>
    </row>
    <row r="60" spans="1:13" s="104" customFormat="1" ht="15.75">
      <c r="A60" s="150"/>
      <c r="B60" s="154"/>
      <c r="C60" s="154"/>
      <c r="M60" s="105"/>
    </row>
    <row r="61" spans="1:13" s="157" customFormat="1" ht="16.5" customHeight="1">
      <c r="A61" s="283"/>
      <c r="B61" s="283"/>
      <c r="C61" s="156"/>
      <c r="M61" s="158"/>
    </row>
    <row r="62" spans="1:3" ht="15.75">
      <c r="A62" s="150"/>
      <c r="B62" s="153"/>
      <c r="C62" s="153"/>
    </row>
    <row r="63" spans="1:3" ht="15.75">
      <c r="A63" s="150"/>
      <c r="B63" s="153"/>
      <c r="C63" s="153"/>
    </row>
    <row r="64" spans="1:3" ht="15.75">
      <c r="A64" s="150"/>
      <c r="B64" s="153"/>
      <c r="C64" s="153"/>
    </row>
    <row r="65" spans="1:3" ht="15.75">
      <c r="A65" s="150"/>
      <c r="B65" s="153"/>
      <c r="C65" s="153"/>
    </row>
    <row r="66" spans="1:3" ht="18" customHeight="1">
      <c r="A66" s="150"/>
      <c r="B66" s="153"/>
      <c r="C66" s="153"/>
    </row>
    <row r="67" spans="1:3" ht="15.75">
      <c r="A67" s="150"/>
      <c r="B67" s="153"/>
      <c r="C67" s="153"/>
    </row>
    <row r="68" spans="1:3" ht="15.75">
      <c r="A68" s="150"/>
      <c r="B68" s="153"/>
      <c r="C68" s="153"/>
    </row>
    <row r="69" spans="1:3" ht="15.75">
      <c r="A69" s="150"/>
      <c r="B69" s="153"/>
      <c r="C69" s="153"/>
    </row>
    <row r="70" spans="1:3" ht="15.75">
      <c r="A70" s="150"/>
      <c r="B70" s="153"/>
      <c r="C70" s="153"/>
    </row>
    <row r="71" spans="1:3" ht="15.75">
      <c r="A71" s="150"/>
      <c r="B71" s="153"/>
      <c r="C71" s="153"/>
    </row>
    <row r="72" spans="1:3" ht="15.75">
      <c r="A72" s="150"/>
      <c r="B72" s="151"/>
      <c r="C72" s="151"/>
    </row>
    <row r="73" spans="1:3" ht="15.75">
      <c r="A73" s="150"/>
      <c r="B73" s="151"/>
      <c r="C73" s="151"/>
    </row>
    <row r="74" spans="1:3" ht="15.75">
      <c r="A74" s="150"/>
      <c r="B74" s="151"/>
      <c r="C74" s="151"/>
    </row>
    <row r="75" spans="1:3" ht="15.75">
      <c r="A75" s="150"/>
      <c r="B75" s="151"/>
      <c r="C75" s="151"/>
    </row>
    <row r="76" spans="1:3" ht="15.75">
      <c r="A76" s="150"/>
      <c r="B76" s="151"/>
      <c r="C76" s="151"/>
    </row>
    <row r="77" spans="1:3" ht="15.75">
      <c r="A77" s="150"/>
      <c r="B77" s="151"/>
      <c r="C77" s="151"/>
    </row>
    <row r="78" spans="1:3" ht="15.75">
      <c r="A78" s="150"/>
      <c r="B78" s="151"/>
      <c r="C78" s="151"/>
    </row>
    <row r="79" spans="1:3" ht="15.75">
      <c r="A79" s="150"/>
      <c r="B79" s="151"/>
      <c r="C79" s="151"/>
    </row>
    <row r="80" spans="1:3" ht="15.75">
      <c r="A80" s="150"/>
      <c r="B80" s="151"/>
      <c r="C80" s="151"/>
    </row>
    <row r="81" spans="1:3" ht="15.75">
      <c r="A81" s="150"/>
      <c r="B81" s="151"/>
      <c r="C81" s="151"/>
    </row>
    <row r="82" spans="1:3" ht="15.75">
      <c r="A82" s="150"/>
      <c r="B82" s="151"/>
      <c r="C82" s="151"/>
    </row>
    <row r="83" spans="1:3" ht="15.75">
      <c r="A83" s="150"/>
      <c r="B83" s="151"/>
      <c r="C83" s="151"/>
    </row>
    <row r="84" spans="1:3" ht="15.75">
      <c r="A84" s="150"/>
      <c r="B84" s="151"/>
      <c r="C84" s="151"/>
    </row>
    <row r="85" spans="1:3" ht="15.75">
      <c r="A85" s="150"/>
      <c r="B85" s="151"/>
      <c r="C85" s="151"/>
    </row>
    <row r="86" spans="1:3" ht="15.75">
      <c r="A86" s="150"/>
      <c r="B86" s="151"/>
      <c r="C86" s="151"/>
    </row>
    <row r="87" spans="1:3" ht="15.75">
      <c r="A87" s="150"/>
      <c r="B87" s="151"/>
      <c r="C87" s="151"/>
    </row>
    <row r="88" spans="1:3" ht="15.75">
      <c r="A88" s="150"/>
      <c r="B88" s="151"/>
      <c r="C88" s="151"/>
    </row>
    <row r="89" spans="1:3" ht="15.75">
      <c r="A89" s="150"/>
      <c r="B89" s="151"/>
      <c r="C89" s="151"/>
    </row>
    <row r="90" spans="1:3" ht="15.75">
      <c r="A90" s="150"/>
      <c r="B90" s="151"/>
      <c r="C90" s="151"/>
    </row>
    <row r="91" spans="1:3" ht="15.75">
      <c r="A91" s="150"/>
      <c r="B91" s="151"/>
      <c r="C91" s="151"/>
    </row>
    <row r="92" spans="1:3" ht="15.75">
      <c r="A92" s="150"/>
      <c r="B92" s="151"/>
      <c r="C92" s="151"/>
    </row>
    <row r="93" spans="1:3" ht="15.75">
      <c r="A93" s="150"/>
      <c r="B93" s="151"/>
      <c r="C93" s="151"/>
    </row>
    <row r="94" spans="1:3" ht="15.75">
      <c r="A94" s="150"/>
      <c r="B94" s="151"/>
      <c r="C94" s="151"/>
    </row>
    <row r="95" spans="1:3" ht="15.75">
      <c r="A95" s="150"/>
      <c r="B95" s="151"/>
      <c r="C95" s="151"/>
    </row>
    <row r="96" spans="1:3" ht="15.75">
      <c r="A96" s="150"/>
      <c r="B96" s="151"/>
      <c r="C96" s="151"/>
    </row>
    <row r="97" spans="1:3" ht="15.75">
      <c r="A97" s="150"/>
      <c r="B97" s="151"/>
      <c r="C97" s="151"/>
    </row>
    <row r="98" spans="1:3" ht="15.75">
      <c r="A98" s="150"/>
      <c r="B98" s="151"/>
      <c r="C98" s="151"/>
    </row>
    <row r="99" spans="1:3" ht="15.75">
      <c r="A99" s="150"/>
      <c r="B99" s="151"/>
      <c r="C99" s="151"/>
    </row>
    <row r="100" spans="1:3" ht="15.75">
      <c r="A100" s="150"/>
      <c r="B100" s="151"/>
      <c r="C100" s="151"/>
    </row>
    <row r="101" spans="1:3" ht="15.75">
      <c r="A101" s="150"/>
      <c r="B101" s="151"/>
      <c r="C101" s="151"/>
    </row>
    <row r="102" spans="1:3" ht="15.75">
      <c r="A102" s="150"/>
      <c r="B102" s="151"/>
      <c r="C102" s="151"/>
    </row>
    <row r="103" spans="1:3" ht="15.75">
      <c r="A103" s="150"/>
      <c r="B103" s="151"/>
      <c r="C103" s="151"/>
    </row>
    <row r="104" spans="1:3" ht="15.75">
      <c r="A104" s="150"/>
      <c r="B104" s="151"/>
      <c r="C104" s="151"/>
    </row>
    <row r="105" spans="1:3" ht="15.75">
      <c r="A105" s="150"/>
      <c r="B105" s="151"/>
      <c r="C105" s="151"/>
    </row>
    <row r="106" spans="1:3" ht="15.75">
      <c r="A106" s="161"/>
      <c r="B106" s="162"/>
      <c r="C106" s="162"/>
    </row>
    <row r="107" spans="1:3" ht="18.75">
      <c r="A107" s="163"/>
      <c r="B107" s="163"/>
      <c r="C107" s="163"/>
    </row>
    <row r="108" spans="1:3" ht="12.75">
      <c r="A108" s="161"/>
      <c r="B108" s="161"/>
      <c r="C108" s="161"/>
    </row>
  </sheetData>
  <sheetProtection/>
  <mergeCells count="13">
    <mergeCell ref="A61:B61"/>
    <mergeCell ref="A1:F1"/>
    <mergeCell ref="A2:A6"/>
    <mergeCell ref="B2:B4"/>
    <mergeCell ref="B5:B6"/>
    <mergeCell ref="D2:I3"/>
    <mergeCell ref="C3:C6"/>
    <mergeCell ref="M3:M6"/>
    <mergeCell ref="N3:N6"/>
    <mergeCell ref="K2:K6"/>
    <mergeCell ref="L2:L6"/>
    <mergeCell ref="D4:I4"/>
    <mergeCell ref="J2:J6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zoomScale="71" zoomScaleNormal="74" zoomScaleSheetLayoutView="71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" sqref="H1:I16384"/>
    </sheetView>
  </sheetViews>
  <sheetFormatPr defaultColWidth="9.140625" defaultRowHeight="12.75"/>
  <cols>
    <col min="1" max="1" width="9.00390625" style="165" customWidth="1"/>
    <col min="2" max="2" width="36.140625" style="165" customWidth="1"/>
    <col min="3" max="3" width="27.28125" style="165" customWidth="1"/>
    <col min="4" max="4" width="23.28125" style="159" customWidth="1"/>
    <col min="5" max="6" width="21.421875" style="159" customWidth="1"/>
    <col min="7" max="7" width="26.421875" style="159" customWidth="1"/>
    <col min="8" max="8" width="13.7109375" style="159" customWidth="1"/>
    <col min="9" max="9" width="16.421875" style="159" customWidth="1"/>
    <col min="10" max="16384" width="9.140625" style="159" customWidth="1"/>
  </cols>
  <sheetData>
    <row r="1" spans="1:7" s="104" customFormat="1" ht="18.75" customHeight="1">
      <c r="A1" s="271"/>
      <c r="B1" s="271"/>
      <c r="C1" s="103"/>
      <c r="G1" s="104" t="s">
        <v>100</v>
      </c>
    </row>
    <row r="2" spans="1:9" s="111" customFormat="1" ht="15.75" customHeight="1">
      <c r="A2" s="321" t="s">
        <v>79</v>
      </c>
      <c r="B2" s="277" t="s">
        <v>75</v>
      </c>
      <c r="C2" s="280" t="s">
        <v>86</v>
      </c>
      <c r="D2" s="276" t="s">
        <v>81</v>
      </c>
      <c r="E2" s="316" t="s">
        <v>83</v>
      </c>
      <c r="F2" s="316" t="s">
        <v>84</v>
      </c>
      <c r="G2" s="316" t="s">
        <v>89</v>
      </c>
      <c r="H2" s="277"/>
      <c r="I2" s="277"/>
    </row>
    <row r="3" spans="1:9" s="111" customFormat="1" ht="51.75" customHeight="1">
      <c r="A3" s="321"/>
      <c r="B3" s="278"/>
      <c r="C3" s="281"/>
      <c r="D3" s="276"/>
      <c r="E3" s="317"/>
      <c r="F3" s="317"/>
      <c r="G3" s="317"/>
      <c r="H3" s="278"/>
      <c r="I3" s="278"/>
    </row>
    <row r="4" spans="1:9" s="111" customFormat="1" ht="102.75" customHeight="1">
      <c r="A4" s="321"/>
      <c r="B4" s="278"/>
      <c r="C4" s="281"/>
      <c r="D4" s="109" t="s">
        <v>54</v>
      </c>
      <c r="E4" s="317"/>
      <c r="F4" s="317"/>
      <c r="G4" s="317"/>
      <c r="H4" s="278"/>
      <c r="I4" s="278"/>
    </row>
    <row r="5" spans="1:9" s="111" customFormat="1" ht="65.25" customHeight="1">
      <c r="A5" s="321"/>
      <c r="B5" s="276" t="s">
        <v>74</v>
      </c>
      <c r="C5" s="281"/>
      <c r="D5" s="319" t="s">
        <v>48</v>
      </c>
      <c r="E5" s="317"/>
      <c r="F5" s="317"/>
      <c r="G5" s="317"/>
      <c r="H5" s="284"/>
      <c r="I5" s="284"/>
    </row>
    <row r="6" spans="1:7" s="111" customFormat="1" ht="64.5" customHeight="1" hidden="1">
      <c r="A6" s="321"/>
      <c r="B6" s="276"/>
      <c r="C6" s="116"/>
      <c r="D6" s="320"/>
      <c r="E6" s="224"/>
      <c r="F6" s="224"/>
      <c r="G6" s="318"/>
    </row>
    <row r="7" spans="1:9" s="104" customFormat="1" ht="15.75">
      <c r="A7" s="193">
        <v>1</v>
      </c>
      <c r="B7" s="181" t="s">
        <v>0</v>
      </c>
      <c r="C7" s="225">
        <v>687</v>
      </c>
      <c r="D7" s="185">
        <v>38</v>
      </c>
      <c r="E7" s="187">
        <v>324</v>
      </c>
      <c r="F7" s="213">
        <f>ROUND(C7/E7,3)</f>
        <v>2.12</v>
      </c>
      <c r="G7" s="189">
        <f aca="true" t="shared" si="0" ref="G7:G45">ROUNDDOWN(D7*E7*F7/1000,1)</f>
        <v>26.1</v>
      </c>
      <c r="H7" s="191"/>
      <c r="I7" s="191"/>
    </row>
    <row r="8" spans="1:9" s="104" customFormat="1" ht="15.75">
      <c r="A8" s="193">
        <v>2</v>
      </c>
      <c r="B8" s="181" t="s">
        <v>62</v>
      </c>
      <c r="C8" s="225">
        <v>425</v>
      </c>
      <c r="D8" s="185">
        <v>97</v>
      </c>
      <c r="E8" s="187">
        <v>324</v>
      </c>
      <c r="F8" s="226">
        <v>1.309</v>
      </c>
      <c r="G8" s="189">
        <f>ROUNDDOWN(D8*E8*F8/1000,1)+0.1</f>
        <v>41.2</v>
      </c>
      <c r="H8" s="191"/>
      <c r="I8" s="191"/>
    </row>
    <row r="9" spans="1:9" s="104" customFormat="1" ht="15.75">
      <c r="A9" s="193">
        <v>3</v>
      </c>
      <c r="B9" s="181" t="s">
        <v>1</v>
      </c>
      <c r="C9" s="225">
        <v>639</v>
      </c>
      <c r="D9" s="185">
        <v>38</v>
      </c>
      <c r="E9" s="187">
        <v>324</v>
      </c>
      <c r="F9" s="226">
        <v>1.966</v>
      </c>
      <c r="G9" s="189">
        <f>ROUNDDOWN(D9*E9*F9/1000,1)+0.1</f>
        <v>24.3</v>
      </c>
      <c r="H9" s="191"/>
      <c r="I9" s="191"/>
    </row>
    <row r="10" spans="1:9" s="104" customFormat="1" ht="15.75">
      <c r="A10" s="193">
        <v>4</v>
      </c>
      <c r="B10" s="181" t="s">
        <v>2</v>
      </c>
      <c r="C10" s="225">
        <v>736</v>
      </c>
      <c r="D10" s="185">
        <v>45</v>
      </c>
      <c r="E10" s="187">
        <v>324</v>
      </c>
      <c r="F10" s="226">
        <v>2.267</v>
      </c>
      <c r="G10" s="189">
        <f>ROUNDDOWN(D10*E10*F10/1000,1)+0.1</f>
        <v>33.1</v>
      </c>
      <c r="H10" s="191"/>
      <c r="I10" s="191"/>
    </row>
    <row r="11" spans="1:9" s="104" customFormat="1" ht="15.75">
      <c r="A11" s="193">
        <v>5</v>
      </c>
      <c r="B11" s="181" t="s">
        <v>61</v>
      </c>
      <c r="C11" s="225">
        <v>491</v>
      </c>
      <c r="D11" s="185">
        <v>44</v>
      </c>
      <c r="E11" s="187">
        <v>324</v>
      </c>
      <c r="F11" s="188">
        <v>1.52</v>
      </c>
      <c r="G11" s="189">
        <f t="shared" si="0"/>
        <v>21.6</v>
      </c>
      <c r="H11" s="191"/>
      <c r="I11" s="191"/>
    </row>
    <row r="12" spans="1:9" s="104" customFormat="1" ht="15.75">
      <c r="A12" s="193">
        <v>6</v>
      </c>
      <c r="B12" s="181" t="s">
        <v>3</v>
      </c>
      <c r="C12" s="225">
        <v>1400</v>
      </c>
      <c r="D12" s="185">
        <v>21</v>
      </c>
      <c r="E12" s="187">
        <v>324</v>
      </c>
      <c r="F12" s="226">
        <v>4.331</v>
      </c>
      <c r="G12" s="189">
        <f t="shared" si="0"/>
        <v>29.4</v>
      </c>
      <c r="H12" s="191"/>
      <c r="I12" s="191"/>
    </row>
    <row r="13" spans="1:9" s="104" customFormat="1" ht="15.75" customHeight="1">
      <c r="A13" s="193">
        <v>7</v>
      </c>
      <c r="B13" s="181" t="s">
        <v>4</v>
      </c>
      <c r="C13" s="225">
        <v>861</v>
      </c>
      <c r="D13" s="185">
        <v>38</v>
      </c>
      <c r="E13" s="187">
        <v>324</v>
      </c>
      <c r="F13" s="226">
        <v>2.648</v>
      </c>
      <c r="G13" s="189">
        <f>ROUNDDOWN(D13*E13*F13/1000,1)+0.1</f>
        <v>32.7</v>
      </c>
      <c r="H13" s="191"/>
      <c r="I13" s="191"/>
    </row>
    <row r="14" spans="1:10" s="201" customFormat="1" ht="15.75">
      <c r="A14" s="198">
        <v>8</v>
      </c>
      <c r="B14" s="199" t="s">
        <v>5</v>
      </c>
      <c r="C14" s="227"/>
      <c r="D14" s="228"/>
      <c r="E14" s="187">
        <v>324</v>
      </c>
      <c r="F14" s="226"/>
      <c r="G14" s="189"/>
      <c r="H14" s="191"/>
      <c r="I14" s="191"/>
      <c r="J14" s="104"/>
    </row>
    <row r="15" spans="1:9" s="104" customFormat="1" ht="15.75">
      <c r="A15" s="193">
        <v>9</v>
      </c>
      <c r="B15" s="181" t="s">
        <v>6</v>
      </c>
      <c r="C15" s="225"/>
      <c r="D15" s="185"/>
      <c r="E15" s="187">
        <v>324</v>
      </c>
      <c r="F15" s="226"/>
      <c r="G15" s="189">
        <f t="shared" si="0"/>
        <v>0</v>
      </c>
      <c r="H15" s="191"/>
      <c r="I15" s="191"/>
    </row>
    <row r="16" spans="1:9" s="104" customFormat="1" ht="15.75">
      <c r="A16" s="198">
        <v>10</v>
      </c>
      <c r="B16" s="202" t="s">
        <v>7</v>
      </c>
      <c r="C16" s="215">
        <v>324</v>
      </c>
      <c r="D16" s="185">
        <v>104</v>
      </c>
      <c r="E16" s="187">
        <v>324</v>
      </c>
      <c r="F16" s="226">
        <v>1.002</v>
      </c>
      <c r="G16" s="189">
        <f t="shared" si="0"/>
        <v>33.7</v>
      </c>
      <c r="H16" s="191"/>
      <c r="I16" s="191"/>
    </row>
    <row r="17" spans="1:9" s="104" customFormat="1" ht="15.75">
      <c r="A17" s="193">
        <v>11</v>
      </c>
      <c r="B17" s="202" t="s">
        <v>8</v>
      </c>
      <c r="C17" s="215">
        <v>669</v>
      </c>
      <c r="D17" s="185">
        <v>42</v>
      </c>
      <c r="E17" s="187">
        <v>324</v>
      </c>
      <c r="F17" s="226">
        <v>2.061</v>
      </c>
      <c r="G17" s="189">
        <f>ROUNDDOWN(D17*E17*F17/1000,1)+0.1</f>
        <v>28.1</v>
      </c>
      <c r="H17" s="191"/>
      <c r="I17" s="191"/>
    </row>
    <row r="18" spans="1:9" s="104" customFormat="1" ht="15.75">
      <c r="A18" s="198">
        <v>12</v>
      </c>
      <c r="B18" s="202" t="s">
        <v>9</v>
      </c>
      <c r="C18" s="215">
        <v>4150</v>
      </c>
      <c r="D18" s="185">
        <v>8</v>
      </c>
      <c r="E18" s="187">
        <v>324</v>
      </c>
      <c r="F18" s="226">
        <v>12.574</v>
      </c>
      <c r="G18" s="189">
        <f>ROUNDDOWN(D18*E18*F18/1000,1)+0.7</f>
        <v>33.2</v>
      </c>
      <c r="H18" s="191"/>
      <c r="I18" s="191"/>
    </row>
    <row r="19" spans="1:9" s="104" customFormat="1" ht="15.75">
      <c r="A19" s="193">
        <v>13</v>
      </c>
      <c r="B19" s="202" t="s">
        <v>10</v>
      </c>
      <c r="C19" s="215">
        <v>2847</v>
      </c>
      <c r="D19" s="185">
        <v>15</v>
      </c>
      <c r="E19" s="187">
        <v>324</v>
      </c>
      <c r="F19" s="226">
        <v>8.787</v>
      </c>
      <c r="G19" s="189">
        <f t="shared" si="0"/>
        <v>42.7</v>
      </c>
      <c r="H19" s="191"/>
      <c r="I19" s="191"/>
    </row>
    <row r="20" spans="1:9" s="104" customFormat="1" ht="19.5" customHeight="1">
      <c r="A20" s="198">
        <v>14</v>
      </c>
      <c r="B20" s="202" t="s">
        <v>11</v>
      </c>
      <c r="C20" s="215">
        <v>4625</v>
      </c>
      <c r="D20" s="185">
        <v>4</v>
      </c>
      <c r="E20" s="187">
        <v>324</v>
      </c>
      <c r="F20" s="226">
        <v>13.922</v>
      </c>
      <c r="G20" s="189">
        <f>ROUNDDOWN(D20*E20*F20/1000,1)+0.5</f>
        <v>18.5</v>
      </c>
      <c r="H20" s="191"/>
      <c r="I20" s="191"/>
    </row>
    <row r="21" spans="1:9" s="104" customFormat="1" ht="15.75">
      <c r="A21" s="193">
        <v>15</v>
      </c>
      <c r="B21" s="202" t="s">
        <v>12</v>
      </c>
      <c r="C21" s="215">
        <v>22750</v>
      </c>
      <c r="D21" s="185">
        <v>2</v>
      </c>
      <c r="E21" s="187">
        <v>324</v>
      </c>
      <c r="F21" s="226">
        <v>69.957</v>
      </c>
      <c r="G21" s="189">
        <f>ROUNDDOWN(D21*E21*F21/1000,1)+0.2</f>
        <v>45.5</v>
      </c>
      <c r="H21" s="191"/>
      <c r="I21" s="191"/>
    </row>
    <row r="22" spans="1:10" s="205" customFormat="1" ht="15.75" customHeight="1">
      <c r="A22" s="198">
        <v>16</v>
      </c>
      <c r="B22" s="133" t="s">
        <v>13</v>
      </c>
      <c r="C22" s="229">
        <v>2723</v>
      </c>
      <c r="D22" s="185">
        <v>13</v>
      </c>
      <c r="E22" s="187">
        <v>324</v>
      </c>
      <c r="F22" s="226">
        <v>8.38</v>
      </c>
      <c r="G22" s="189">
        <f>ROUNDDOWN(D22*E22*F22/1000,1)+0.2</f>
        <v>35.400000000000006</v>
      </c>
      <c r="H22" s="191"/>
      <c r="I22" s="191"/>
      <c r="J22" s="104"/>
    </row>
    <row r="23" spans="1:10" s="126" customFormat="1" ht="19.5" customHeight="1">
      <c r="A23" s="193">
        <v>17</v>
      </c>
      <c r="B23" s="133" t="s">
        <v>14</v>
      </c>
      <c r="C23" s="229"/>
      <c r="D23" s="207"/>
      <c r="E23" s="187">
        <v>324</v>
      </c>
      <c r="F23" s="226"/>
      <c r="G23" s="189">
        <f t="shared" si="0"/>
        <v>0</v>
      </c>
      <c r="H23" s="191"/>
      <c r="I23" s="191"/>
      <c r="J23" s="104"/>
    </row>
    <row r="24" spans="1:9" s="104" customFormat="1" ht="15.75">
      <c r="A24" s="198">
        <v>18</v>
      </c>
      <c r="B24" s="202" t="s">
        <v>15</v>
      </c>
      <c r="C24" s="215"/>
      <c r="D24" s="185"/>
      <c r="E24" s="187">
        <v>324</v>
      </c>
      <c r="F24" s="226"/>
      <c r="G24" s="189">
        <f t="shared" si="0"/>
        <v>0</v>
      </c>
      <c r="H24" s="191"/>
      <c r="I24" s="191"/>
    </row>
    <row r="25" spans="1:10" s="205" customFormat="1" ht="21" customHeight="1">
      <c r="A25" s="193">
        <v>19</v>
      </c>
      <c r="B25" s="133" t="s">
        <v>16</v>
      </c>
      <c r="C25" s="229"/>
      <c r="D25" s="185"/>
      <c r="E25" s="187">
        <v>324</v>
      </c>
      <c r="F25" s="226"/>
      <c r="G25" s="189">
        <f t="shared" si="0"/>
        <v>0</v>
      </c>
      <c r="H25" s="191"/>
      <c r="I25" s="191"/>
      <c r="J25" s="104"/>
    </row>
    <row r="26" spans="1:9" s="104" customFormat="1" ht="15.75">
      <c r="A26" s="198">
        <v>20</v>
      </c>
      <c r="B26" s="202" t="s">
        <v>17</v>
      </c>
      <c r="C26" s="215">
        <v>498</v>
      </c>
      <c r="D26" s="185">
        <v>65</v>
      </c>
      <c r="E26" s="187">
        <v>324</v>
      </c>
      <c r="F26" s="226">
        <v>1.542</v>
      </c>
      <c r="G26" s="189">
        <f t="shared" si="0"/>
        <v>32.4</v>
      </c>
      <c r="H26" s="191"/>
      <c r="I26" s="191"/>
    </row>
    <row r="27" spans="1:9" s="104" customFormat="1" ht="15.75">
      <c r="A27" s="193">
        <v>21</v>
      </c>
      <c r="B27" s="202" t="s">
        <v>18</v>
      </c>
      <c r="C27" s="215">
        <v>348</v>
      </c>
      <c r="D27" s="185">
        <v>63</v>
      </c>
      <c r="E27" s="187">
        <v>324</v>
      </c>
      <c r="F27" s="226">
        <v>1.074</v>
      </c>
      <c r="G27" s="189">
        <f t="shared" si="0"/>
        <v>21.9</v>
      </c>
      <c r="H27" s="191"/>
      <c r="I27" s="191"/>
    </row>
    <row r="28" spans="1:10" s="126" customFormat="1" ht="15" customHeight="1">
      <c r="A28" s="198">
        <v>22</v>
      </c>
      <c r="B28" s="133" t="s">
        <v>19</v>
      </c>
      <c r="C28" s="229">
        <v>5057</v>
      </c>
      <c r="D28" s="207">
        <v>7</v>
      </c>
      <c r="E28" s="187">
        <v>324</v>
      </c>
      <c r="F28" s="226">
        <v>15.565</v>
      </c>
      <c r="G28" s="189">
        <f>ROUNDDOWN(D28*E28*F28/1000,1)+0.1</f>
        <v>35.4</v>
      </c>
      <c r="H28" s="191"/>
      <c r="I28" s="191"/>
      <c r="J28" s="104"/>
    </row>
    <row r="29" spans="1:10" s="205" customFormat="1" ht="18.75" customHeight="1">
      <c r="A29" s="193">
        <v>23</v>
      </c>
      <c r="B29" s="133" t="s">
        <v>20</v>
      </c>
      <c r="C29" s="229"/>
      <c r="D29" s="185"/>
      <c r="E29" s="187">
        <v>324</v>
      </c>
      <c r="F29" s="226"/>
      <c r="G29" s="189">
        <f t="shared" si="0"/>
        <v>0</v>
      </c>
      <c r="H29" s="191"/>
      <c r="I29" s="191"/>
      <c r="J29" s="104"/>
    </row>
    <row r="30" spans="1:9" s="104" customFormat="1" ht="15.75">
      <c r="A30" s="198">
        <v>24</v>
      </c>
      <c r="B30" s="202" t="s">
        <v>21</v>
      </c>
      <c r="C30" s="215"/>
      <c r="D30" s="185"/>
      <c r="E30" s="187">
        <v>324</v>
      </c>
      <c r="F30" s="226"/>
      <c r="G30" s="189">
        <f t="shared" si="0"/>
        <v>0</v>
      </c>
      <c r="H30" s="191"/>
      <c r="I30" s="191"/>
    </row>
    <row r="31" spans="1:9" s="104" customFormat="1" ht="15.75">
      <c r="A31" s="193">
        <v>25</v>
      </c>
      <c r="B31" s="202" t="s">
        <v>22</v>
      </c>
      <c r="C31" s="215"/>
      <c r="D31" s="185"/>
      <c r="E31" s="187">
        <v>324</v>
      </c>
      <c r="F31" s="226"/>
      <c r="G31" s="189">
        <f t="shared" si="0"/>
        <v>0</v>
      </c>
      <c r="H31" s="191"/>
      <c r="I31" s="191"/>
    </row>
    <row r="32" spans="1:9" s="104" customFormat="1" ht="15.75">
      <c r="A32" s="198">
        <v>26</v>
      </c>
      <c r="B32" s="202" t="s">
        <v>23</v>
      </c>
      <c r="C32" s="215">
        <v>2093</v>
      </c>
      <c r="D32" s="185">
        <v>15</v>
      </c>
      <c r="E32" s="187">
        <v>324</v>
      </c>
      <c r="F32" s="226">
        <v>6.441</v>
      </c>
      <c r="G32" s="189">
        <f>ROUNDDOWN(D32*E32*F32/1000,1)+0.1</f>
        <v>31.400000000000002</v>
      </c>
      <c r="H32" s="191"/>
      <c r="I32" s="191"/>
    </row>
    <row r="33" spans="1:9" s="104" customFormat="1" ht="19.5" customHeight="1">
      <c r="A33" s="193">
        <v>27</v>
      </c>
      <c r="B33" s="202" t="s">
        <v>24</v>
      </c>
      <c r="C33" s="215">
        <v>1104</v>
      </c>
      <c r="D33" s="185">
        <v>25</v>
      </c>
      <c r="E33" s="187">
        <v>324</v>
      </c>
      <c r="F33" s="226">
        <v>3.407</v>
      </c>
      <c r="G33" s="189">
        <f>ROUNDDOWN(D33*E33*F33/1000,1)+0.1</f>
        <v>27.6</v>
      </c>
      <c r="H33" s="191"/>
      <c r="I33" s="191"/>
    </row>
    <row r="34" spans="1:9" s="104" customFormat="1" ht="18" customHeight="1">
      <c r="A34" s="198">
        <v>28</v>
      </c>
      <c r="B34" s="202" t="s">
        <v>25</v>
      </c>
      <c r="C34" s="215">
        <v>5760</v>
      </c>
      <c r="D34" s="185">
        <v>5</v>
      </c>
      <c r="E34" s="187">
        <v>324</v>
      </c>
      <c r="F34" s="226">
        <v>17.716</v>
      </c>
      <c r="G34" s="189">
        <f>ROUNDDOWN(D34*E34*F34/1000,1)+0.1+0.1</f>
        <v>28.800000000000004</v>
      </c>
      <c r="H34" s="191"/>
      <c r="I34" s="191"/>
    </row>
    <row r="35" spans="1:10" s="126" customFormat="1" ht="18.75" customHeight="1">
      <c r="A35" s="193">
        <v>29</v>
      </c>
      <c r="B35" s="133" t="s">
        <v>26</v>
      </c>
      <c r="C35" s="229">
        <v>31450</v>
      </c>
      <c r="D35" s="207">
        <v>2</v>
      </c>
      <c r="E35" s="187">
        <v>324</v>
      </c>
      <c r="F35" s="226">
        <v>97.167</v>
      </c>
      <c r="G35" s="189">
        <f t="shared" si="0"/>
        <v>62.9</v>
      </c>
      <c r="H35" s="191"/>
      <c r="I35" s="191"/>
      <c r="J35" s="104"/>
    </row>
    <row r="36" spans="1:10" s="205" customFormat="1" ht="18.75" customHeight="1">
      <c r="A36" s="198">
        <v>30</v>
      </c>
      <c r="B36" s="133" t="s">
        <v>27</v>
      </c>
      <c r="C36" s="229"/>
      <c r="D36" s="207"/>
      <c r="E36" s="187">
        <v>324</v>
      </c>
      <c r="F36" s="226"/>
      <c r="G36" s="189">
        <f t="shared" si="0"/>
        <v>0</v>
      </c>
      <c r="H36" s="230"/>
      <c r="I36" s="191"/>
      <c r="J36" s="104"/>
    </row>
    <row r="37" spans="1:9" s="104" customFormat="1" ht="15.75">
      <c r="A37" s="193">
        <v>31</v>
      </c>
      <c r="B37" s="202" t="s">
        <v>28</v>
      </c>
      <c r="C37" s="215"/>
      <c r="D37" s="185"/>
      <c r="E37" s="187">
        <v>324</v>
      </c>
      <c r="F37" s="226"/>
      <c r="G37" s="189">
        <f t="shared" si="0"/>
        <v>0</v>
      </c>
      <c r="H37" s="191"/>
      <c r="I37" s="191"/>
    </row>
    <row r="38" spans="1:9" s="104" customFormat="1" ht="15.75">
      <c r="A38" s="198">
        <v>32</v>
      </c>
      <c r="B38" s="202" t="s">
        <v>29</v>
      </c>
      <c r="C38" s="215">
        <v>12500</v>
      </c>
      <c r="D38" s="185">
        <v>3</v>
      </c>
      <c r="E38" s="187">
        <v>324</v>
      </c>
      <c r="F38" s="226">
        <v>38.508</v>
      </c>
      <c r="G38" s="189">
        <f>ROUNDDOWN(D38*E38*F38/1000,1)+0.1</f>
        <v>37.5</v>
      </c>
      <c r="H38" s="191"/>
      <c r="I38" s="191"/>
    </row>
    <row r="39" spans="1:9" s="104" customFormat="1" ht="15.75">
      <c r="A39" s="193">
        <v>33</v>
      </c>
      <c r="B39" s="202" t="s">
        <v>30</v>
      </c>
      <c r="C39" s="215"/>
      <c r="D39" s="185"/>
      <c r="E39" s="187">
        <v>324</v>
      </c>
      <c r="F39" s="226"/>
      <c r="G39" s="189">
        <f t="shared" si="0"/>
        <v>0</v>
      </c>
      <c r="H39" s="191"/>
      <c r="I39" s="191"/>
    </row>
    <row r="40" spans="1:9" s="104" customFormat="1" ht="15.75">
      <c r="A40" s="198">
        <v>34</v>
      </c>
      <c r="B40" s="202" t="s">
        <v>31</v>
      </c>
      <c r="C40" s="215">
        <v>1488</v>
      </c>
      <c r="D40" s="185">
        <v>25</v>
      </c>
      <c r="E40" s="187">
        <v>324</v>
      </c>
      <c r="F40" s="226">
        <v>4.581</v>
      </c>
      <c r="G40" s="189">
        <f>ROUNDDOWN(D40*E40*F40/1000,1)+0.1</f>
        <v>37.2</v>
      </c>
      <c r="H40" s="191"/>
      <c r="I40" s="191"/>
    </row>
    <row r="41" spans="1:10" s="205" customFormat="1" ht="16.5" customHeight="1">
      <c r="A41" s="193">
        <v>35</v>
      </c>
      <c r="B41" s="133" t="s">
        <v>32</v>
      </c>
      <c r="C41" s="229"/>
      <c r="D41" s="185"/>
      <c r="E41" s="187">
        <v>324</v>
      </c>
      <c r="F41" s="226"/>
      <c r="G41" s="189">
        <f t="shared" si="0"/>
        <v>0</v>
      </c>
      <c r="H41" s="230"/>
      <c r="I41" s="191"/>
      <c r="J41" s="104"/>
    </row>
    <row r="42" spans="1:10" s="205" customFormat="1" ht="16.5" customHeight="1">
      <c r="A42" s="198">
        <v>36</v>
      </c>
      <c r="B42" s="133" t="s">
        <v>33</v>
      </c>
      <c r="C42" s="229">
        <v>1260</v>
      </c>
      <c r="D42" s="185">
        <v>10</v>
      </c>
      <c r="E42" s="187">
        <v>324</v>
      </c>
      <c r="F42" s="226">
        <v>3.719</v>
      </c>
      <c r="G42" s="189">
        <f>ROUNDDOWN(D42*E42*F42/1000,1)+0.6</f>
        <v>12.6</v>
      </c>
      <c r="H42" s="230"/>
      <c r="I42" s="191"/>
      <c r="J42" s="104"/>
    </row>
    <row r="43" spans="1:10" s="205" customFormat="1" ht="21" customHeight="1">
      <c r="A43" s="193">
        <v>37</v>
      </c>
      <c r="B43" s="133" t="s">
        <v>34</v>
      </c>
      <c r="C43" s="229"/>
      <c r="D43" s="185"/>
      <c r="E43" s="187">
        <v>324</v>
      </c>
      <c r="F43" s="226"/>
      <c r="G43" s="189">
        <f t="shared" si="0"/>
        <v>0</v>
      </c>
      <c r="H43" s="191"/>
      <c r="I43" s="191"/>
      <c r="J43" s="104"/>
    </row>
    <row r="44" spans="1:10" s="205" customFormat="1" ht="15.75">
      <c r="A44" s="198">
        <v>38</v>
      </c>
      <c r="B44" s="133" t="s">
        <v>35</v>
      </c>
      <c r="C44" s="229"/>
      <c r="D44" s="211"/>
      <c r="E44" s="187">
        <v>324</v>
      </c>
      <c r="F44" s="226"/>
      <c r="G44" s="189">
        <f t="shared" si="0"/>
        <v>0</v>
      </c>
      <c r="H44" s="191"/>
      <c r="I44" s="191"/>
      <c r="J44" s="104"/>
    </row>
    <row r="45" spans="1:9" s="104" customFormat="1" ht="16.5" thickBot="1">
      <c r="A45" s="193">
        <v>39</v>
      </c>
      <c r="B45" s="214" t="s">
        <v>36</v>
      </c>
      <c r="C45" s="215"/>
      <c r="D45" s="231"/>
      <c r="E45" s="187">
        <v>324</v>
      </c>
      <c r="F45" s="213">
        <f>ROUND(C45/E45,3)</f>
        <v>0</v>
      </c>
      <c r="G45" s="189">
        <f t="shared" si="0"/>
        <v>0</v>
      </c>
      <c r="H45" s="191"/>
      <c r="I45" s="191"/>
    </row>
    <row r="46" spans="1:9" s="126" customFormat="1" ht="32.25" thickBot="1">
      <c r="A46" s="139"/>
      <c r="B46" s="140" t="s">
        <v>78</v>
      </c>
      <c r="C46" s="232"/>
      <c r="D46" s="232">
        <f>SUM(D7:D45)</f>
        <v>729</v>
      </c>
      <c r="E46" s="233"/>
      <c r="F46" s="233"/>
      <c r="G46" s="124">
        <f>SUM(G7:G45)</f>
        <v>773.1999999999999</v>
      </c>
      <c r="H46" s="234"/>
      <c r="I46" s="234"/>
    </row>
    <row r="47" spans="1:4" s="104" customFormat="1" ht="57" customHeight="1">
      <c r="A47" s="145"/>
      <c r="B47" s="146" t="s">
        <v>71</v>
      </c>
      <c r="C47" s="221"/>
      <c r="D47" s="235"/>
    </row>
    <row r="48" spans="1:4" s="104" customFormat="1" ht="15.75">
      <c r="A48" s="150"/>
      <c r="B48" s="151"/>
      <c r="C48" s="151"/>
      <c r="D48" s="235"/>
    </row>
    <row r="49" spans="1:4" s="104" customFormat="1" ht="15.75">
      <c r="A49" s="150"/>
      <c r="B49" s="151"/>
      <c r="C49" s="151"/>
      <c r="D49" s="235"/>
    </row>
    <row r="50" spans="1:3" s="104" customFormat="1" ht="15.75">
      <c r="A50" s="150"/>
      <c r="B50" s="151"/>
      <c r="C50" s="151"/>
    </row>
    <row r="51" spans="1:3" s="104" customFormat="1" ht="15.75">
      <c r="A51" s="150"/>
      <c r="B51" s="151"/>
      <c r="C51" s="151"/>
    </row>
    <row r="52" spans="1:3" s="104" customFormat="1" ht="15.75">
      <c r="A52" s="150"/>
      <c r="B52" s="153"/>
      <c r="C52" s="153"/>
    </row>
    <row r="53" spans="1:3" s="104" customFormat="1" ht="15.75">
      <c r="A53" s="150"/>
      <c r="B53" s="153"/>
      <c r="C53" s="153"/>
    </row>
    <row r="54" spans="1:3" s="104" customFormat="1" ht="16.5" customHeight="1">
      <c r="A54" s="150"/>
      <c r="B54" s="151"/>
      <c r="C54" s="151"/>
    </row>
    <row r="55" spans="1:3" s="104" customFormat="1" ht="15.75">
      <c r="A55" s="150"/>
      <c r="B55" s="151"/>
      <c r="C55" s="151"/>
    </row>
    <row r="56" spans="1:3" s="104" customFormat="1" ht="15.75">
      <c r="A56" s="150"/>
      <c r="B56" s="151"/>
      <c r="C56" s="151"/>
    </row>
    <row r="57" spans="1:3" s="104" customFormat="1" ht="15.75">
      <c r="A57" s="150"/>
      <c r="B57" s="151"/>
      <c r="C57" s="151"/>
    </row>
    <row r="58" spans="1:3" s="104" customFormat="1" ht="15.75">
      <c r="A58" s="150"/>
      <c r="B58" s="151"/>
      <c r="C58" s="151"/>
    </row>
    <row r="59" spans="1:3" s="104" customFormat="1" ht="15.75">
      <c r="A59" s="150"/>
      <c r="B59" s="151"/>
      <c r="C59" s="151"/>
    </row>
    <row r="60" spans="1:3" s="104" customFormat="1" ht="15.75">
      <c r="A60" s="150"/>
      <c r="B60" s="154"/>
      <c r="C60" s="154"/>
    </row>
    <row r="61" spans="1:3" s="157" customFormat="1" ht="16.5" customHeight="1">
      <c r="A61" s="283"/>
      <c r="B61" s="283"/>
      <c r="C61" s="156"/>
    </row>
    <row r="62" spans="1:3" ht="15.75">
      <c r="A62" s="150"/>
      <c r="B62" s="153"/>
      <c r="C62" s="153"/>
    </row>
    <row r="63" spans="1:3" ht="15.75">
      <c r="A63" s="150"/>
      <c r="B63" s="153"/>
      <c r="C63" s="153"/>
    </row>
    <row r="64" spans="1:3" ht="15.75">
      <c r="A64" s="150"/>
      <c r="B64" s="153"/>
      <c r="C64" s="153"/>
    </row>
    <row r="65" spans="1:3" ht="15.75">
      <c r="A65" s="150"/>
      <c r="B65" s="153"/>
      <c r="C65" s="153"/>
    </row>
    <row r="66" spans="1:3" ht="18" customHeight="1">
      <c r="A66" s="150"/>
      <c r="B66" s="153"/>
      <c r="C66" s="153"/>
    </row>
    <row r="67" spans="1:3" ht="15.75">
      <c r="A67" s="150"/>
      <c r="B67" s="153"/>
      <c r="C67" s="153"/>
    </row>
    <row r="68" spans="1:3" ht="15.75">
      <c r="A68" s="150"/>
      <c r="B68" s="153"/>
      <c r="C68" s="153"/>
    </row>
    <row r="69" spans="1:3" ht="15.75">
      <c r="A69" s="150"/>
      <c r="B69" s="153"/>
      <c r="C69" s="153"/>
    </row>
    <row r="70" spans="1:3" ht="15.75">
      <c r="A70" s="150"/>
      <c r="B70" s="153"/>
      <c r="C70" s="153"/>
    </row>
    <row r="71" spans="1:3" ht="15.75">
      <c r="A71" s="150"/>
      <c r="B71" s="153"/>
      <c r="C71" s="153"/>
    </row>
    <row r="72" spans="1:3" ht="15.75">
      <c r="A72" s="150"/>
      <c r="B72" s="151"/>
      <c r="C72" s="151"/>
    </row>
    <row r="73" spans="1:3" ht="15.75">
      <c r="A73" s="150"/>
      <c r="B73" s="151"/>
      <c r="C73" s="151"/>
    </row>
    <row r="74" spans="1:3" ht="15.75">
      <c r="A74" s="150"/>
      <c r="B74" s="151"/>
      <c r="C74" s="151"/>
    </row>
    <row r="75" spans="1:3" ht="15.75">
      <c r="A75" s="150"/>
      <c r="B75" s="151"/>
      <c r="C75" s="151"/>
    </row>
    <row r="76" spans="1:3" ht="15.75">
      <c r="A76" s="150"/>
      <c r="B76" s="151"/>
      <c r="C76" s="151"/>
    </row>
    <row r="77" spans="1:3" ht="15.75">
      <c r="A77" s="150"/>
      <c r="B77" s="151"/>
      <c r="C77" s="151"/>
    </row>
    <row r="78" spans="1:3" ht="15.75">
      <c r="A78" s="150"/>
      <c r="B78" s="151"/>
      <c r="C78" s="151"/>
    </row>
    <row r="79" spans="1:3" ht="15.75">
      <c r="A79" s="150"/>
      <c r="B79" s="151"/>
      <c r="C79" s="151"/>
    </row>
    <row r="80" spans="1:3" ht="15.75">
      <c r="A80" s="150"/>
      <c r="B80" s="151"/>
      <c r="C80" s="151"/>
    </row>
    <row r="81" spans="1:3" ht="15.75">
      <c r="A81" s="150"/>
      <c r="B81" s="151"/>
      <c r="C81" s="151"/>
    </row>
    <row r="82" spans="1:3" ht="15.75">
      <c r="A82" s="150"/>
      <c r="B82" s="151"/>
      <c r="C82" s="151"/>
    </row>
    <row r="83" spans="1:3" ht="15.75">
      <c r="A83" s="150"/>
      <c r="B83" s="151"/>
      <c r="C83" s="151"/>
    </row>
    <row r="84" spans="1:3" ht="15.75">
      <c r="A84" s="150"/>
      <c r="B84" s="151"/>
      <c r="C84" s="151"/>
    </row>
    <row r="85" spans="1:3" ht="15.75">
      <c r="A85" s="150"/>
      <c r="B85" s="151"/>
      <c r="C85" s="151"/>
    </row>
    <row r="86" spans="1:3" ht="15.75">
      <c r="A86" s="150"/>
      <c r="B86" s="151"/>
      <c r="C86" s="151"/>
    </row>
    <row r="87" spans="1:3" ht="15.75">
      <c r="A87" s="150"/>
      <c r="B87" s="151"/>
      <c r="C87" s="151"/>
    </row>
    <row r="88" spans="1:3" ht="15.75">
      <c r="A88" s="150"/>
      <c r="B88" s="151"/>
      <c r="C88" s="151"/>
    </row>
    <row r="89" spans="1:3" ht="15.75">
      <c r="A89" s="150"/>
      <c r="B89" s="151"/>
      <c r="C89" s="151"/>
    </row>
    <row r="90" spans="1:3" ht="15.75">
      <c r="A90" s="150"/>
      <c r="B90" s="151"/>
      <c r="C90" s="151"/>
    </row>
    <row r="91" spans="1:3" ht="15.75">
      <c r="A91" s="150"/>
      <c r="B91" s="151"/>
      <c r="C91" s="151"/>
    </row>
    <row r="92" spans="1:3" ht="15.75">
      <c r="A92" s="150"/>
      <c r="B92" s="151"/>
      <c r="C92" s="151"/>
    </row>
    <row r="93" spans="1:3" ht="15.75">
      <c r="A93" s="150"/>
      <c r="B93" s="151"/>
      <c r="C93" s="151"/>
    </row>
    <row r="94" spans="1:3" ht="15.75">
      <c r="A94" s="150"/>
      <c r="B94" s="151"/>
      <c r="C94" s="151"/>
    </row>
    <row r="95" spans="1:3" ht="15.75">
      <c r="A95" s="150"/>
      <c r="B95" s="151"/>
      <c r="C95" s="151"/>
    </row>
    <row r="96" spans="1:3" ht="15.75">
      <c r="A96" s="150"/>
      <c r="B96" s="151"/>
      <c r="C96" s="151"/>
    </row>
    <row r="97" spans="1:3" ht="15.75">
      <c r="A97" s="150"/>
      <c r="B97" s="151"/>
      <c r="C97" s="151"/>
    </row>
    <row r="98" spans="1:3" ht="15.75">
      <c r="A98" s="150"/>
      <c r="B98" s="151"/>
      <c r="C98" s="151"/>
    </row>
    <row r="99" spans="1:3" ht="15.75">
      <c r="A99" s="150"/>
      <c r="B99" s="151"/>
      <c r="C99" s="151"/>
    </row>
    <row r="100" spans="1:3" ht="15.75">
      <c r="A100" s="150"/>
      <c r="B100" s="151"/>
      <c r="C100" s="151"/>
    </row>
    <row r="101" spans="1:3" ht="15.75">
      <c r="A101" s="150"/>
      <c r="B101" s="151"/>
      <c r="C101" s="151"/>
    </row>
    <row r="102" spans="1:3" ht="15.75">
      <c r="A102" s="150"/>
      <c r="B102" s="151"/>
      <c r="C102" s="151"/>
    </row>
    <row r="103" spans="1:3" ht="15.75">
      <c r="A103" s="150"/>
      <c r="B103" s="151"/>
      <c r="C103" s="151"/>
    </row>
    <row r="104" spans="1:3" ht="15.75">
      <c r="A104" s="150"/>
      <c r="B104" s="151"/>
      <c r="C104" s="151"/>
    </row>
    <row r="105" spans="1:3" ht="15.75">
      <c r="A105" s="150"/>
      <c r="B105" s="151"/>
      <c r="C105" s="151"/>
    </row>
    <row r="106" spans="1:3" ht="15.75">
      <c r="A106" s="161"/>
      <c r="B106" s="162"/>
      <c r="C106" s="162"/>
    </row>
    <row r="107" spans="1:3" ht="18.75">
      <c r="A107" s="163"/>
      <c r="B107" s="163"/>
      <c r="C107" s="163"/>
    </row>
    <row r="108" spans="1:3" ht="12.75">
      <c r="A108" s="161"/>
      <c r="B108" s="161"/>
      <c r="C108" s="161"/>
    </row>
  </sheetData>
  <sheetProtection/>
  <mergeCells count="13">
    <mergeCell ref="A61:B61"/>
    <mergeCell ref="A1:B1"/>
    <mergeCell ref="A2:A6"/>
    <mergeCell ref="B2:B4"/>
    <mergeCell ref="B5:B6"/>
    <mergeCell ref="D2:D3"/>
    <mergeCell ref="C2:C5"/>
    <mergeCell ref="H2:H5"/>
    <mergeCell ref="I2:I5"/>
    <mergeCell ref="E2:E5"/>
    <mergeCell ref="F2:F5"/>
    <mergeCell ref="G2:G6"/>
    <mergeCell ref="D5:D6"/>
  </mergeCells>
  <printOptions horizontalCentered="1"/>
  <pageMargins left="0" right="0" top="0.5905511811023623" bottom="0" header="0" footer="0"/>
  <pageSetup horizontalDpi="600" verticalDpi="600" orientation="portrait" paperSize="9" scale="41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="71" zoomScaleNormal="74" zoomScaleSheetLayoutView="7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" sqref="H1:I16384"/>
    </sheetView>
  </sheetViews>
  <sheetFormatPr defaultColWidth="9.140625" defaultRowHeight="12.75"/>
  <cols>
    <col min="1" max="1" width="9.00390625" style="165" customWidth="1"/>
    <col min="2" max="2" width="36.140625" style="165" customWidth="1"/>
    <col min="3" max="3" width="27.28125" style="165" customWidth="1"/>
    <col min="4" max="4" width="31.7109375" style="159" customWidth="1"/>
    <col min="5" max="6" width="25.00390625" style="159" customWidth="1"/>
    <col min="7" max="7" width="24.28125" style="159" customWidth="1"/>
    <col min="8" max="8" width="15.57421875" style="159" customWidth="1"/>
    <col min="9" max="9" width="15.7109375" style="159" customWidth="1"/>
    <col min="10" max="16384" width="9.140625" style="159" customWidth="1"/>
  </cols>
  <sheetData>
    <row r="1" spans="1:7" s="104" customFormat="1" ht="18.75">
      <c r="A1" s="271"/>
      <c r="B1" s="271"/>
      <c r="C1" s="103"/>
      <c r="G1" s="104" t="s">
        <v>101</v>
      </c>
    </row>
    <row r="2" spans="1:9" s="111" customFormat="1" ht="15.75" customHeight="1">
      <c r="A2" s="321" t="s">
        <v>79</v>
      </c>
      <c r="B2" s="277" t="s">
        <v>75</v>
      </c>
      <c r="C2" s="280" t="s">
        <v>86</v>
      </c>
      <c r="D2" s="276" t="s">
        <v>81</v>
      </c>
      <c r="E2" s="316" t="s">
        <v>83</v>
      </c>
      <c r="F2" s="316" t="s">
        <v>84</v>
      </c>
      <c r="G2" s="322" t="s">
        <v>87</v>
      </c>
      <c r="H2" s="277"/>
      <c r="I2" s="277"/>
    </row>
    <row r="3" spans="1:9" s="111" customFormat="1" ht="51.75" customHeight="1">
      <c r="A3" s="321"/>
      <c r="B3" s="278"/>
      <c r="C3" s="281"/>
      <c r="D3" s="276"/>
      <c r="E3" s="317"/>
      <c r="F3" s="317"/>
      <c r="G3" s="323"/>
      <c r="H3" s="278"/>
      <c r="I3" s="278"/>
    </row>
    <row r="4" spans="1:9" s="111" customFormat="1" ht="102.75" customHeight="1">
      <c r="A4" s="321"/>
      <c r="B4" s="278"/>
      <c r="C4" s="281"/>
      <c r="D4" s="236" t="s">
        <v>53</v>
      </c>
      <c r="E4" s="317"/>
      <c r="F4" s="317"/>
      <c r="G4" s="323"/>
      <c r="H4" s="278"/>
      <c r="I4" s="278"/>
    </row>
    <row r="5" spans="1:9" s="111" customFormat="1" ht="65.25" customHeight="1">
      <c r="A5" s="321"/>
      <c r="B5" s="114" t="s">
        <v>74</v>
      </c>
      <c r="C5" s="281"/>
      <c r="D5" s="237" t="s">
        <v>48</v>
      </c>
      <c r="E5" s="318"/>
      <c r="F5" s="318"/>
      <c r="G5" s="324"/>
      <c r="H5" s="284"/>
      <c r="I5" s="284"/>
    </row>
    <row r="6" spans="1:9" s="104" customFormat="1" ht="15.75">
      <c r="A6" s="180">
        <v>1</v>
      </c>
      <c r="B6" s="181" t="s">
        <v>0</v>
      </c>
      <c r="C6" s="194">
        <v>64</v>
      </c>
      <c r="D6" s="186">
        <v>407</v>
      </c>
      <c r="E6" s="226">
        <v>39</v>
      </c>
      <c r="F6" s="238">
        <v>1.641</v>
      </c>
      <c r="G6" s="239">
        <f>ROUNDDOWN(D6*E6*F6/1000,1)+0.1</f>
        <v>26.1</v>
      </c>
      <c r="H6" s="256"/>
      <c r="I6" s="191"/>
    </row>
    <row r="7" spans="1:9" s="104" customFormat="1" ht="15.75">
      <c r="A7" s="193">
        <v>2</v>
      </c>
      <c r="B7" s="181" t="s">
        <v>62</v>
      </c>
      <c r="C7" s="194">
        <v>112</v>
      </c>
      <c r="D7" s="186">
        <v>368</v>
      </c>
      <c r="E7" s="226">
        <v>39</v>
      </c>
      <c r="F7" s="238">
        <v>2.872</v>
      </c>
      <c r="G7" s="239">
        <f>ROUNDDOWN(D7*E7*F7/1000,1)</f>
        <v>41.2</v>
      </c>
      <c r="H7" s="256"/>
      <c r="I7" s="191"/>
    </row>
    <row r="8" spans="1:9" s="104" customFormat="1" ht="15.75">
      <c r="A8" s="193">
        <v>3</v>
      </c>
      <c r="B8" s="181" t="s">
        <v>1</v>
      </c>
      <c r="C8" s="194">
        <v>78</v>
      </c>
      <c r="D8" s="186">
        <v>310</v>
      </c>
      <c r="E8" s="226">
        <v>39</v>
      </c>
      <c r="F8" s="238">
        <v>2.008</v>
      </c>
      <c r="G8" s="239">
        <f>ROUNDDOWN(D8*E8*F8/1000,1)+0.1</f>
        <v>24.3</v>
      </c>
      <c r="H8" s="256"/>
      <c r="I8" s="191"/>
    </row>
    <row r="9" spans="1:9" s="104" customFormat="1" ht="15.75">
      <c r="A9" s="193">
        <v>4</v>
      </c>
      <c r="B9" s="181" t="s">
        <v>2</v>
      </c>
      <c r="C9" s="194">
        <v>148</v>
      </c>
      <c r="D9" s="186">
        <v>224</v>
      </c>
      <c r="E9" s="226">
        <v>39</v>
      </c>
      <c r="F9" s="238">
        <v>3.78</v>
      </c>
      <c r="G9" s="239">
        <f>ROUNDDOWN(D9*E9*F9/1000,1)+0.1</f>
        <v>33.1</v>
      </c>
      <c r="H9" s="256"/>
      <c r="I9" s="191"/>
    </row>
    <row r="10" spans="1:9" s="104" customFormat="1" ht="15.75">
      <c r="A10" s="193">
        <v>5</v>
      </c>
      <c r="B10" s="181" t="s">
        <v>61</v>
      </c>
      <c r="C10" s="194">
        <v>1080</v>
      </c>
      <c r="D10" s="186">
        <v>20</v>
      </c>
      <c r="E10" s="226">
        <v>39</v>
      </c>
      <c r="F10" s="238">
        <v>27.985</v>
      </c>
      <c r="G10" s="239">
        <f>ROUNDDOWN(D10*E10*F10/1000,1)-0.2</f>
        <v>21.6</v>
      </c>
      <c r="H10" s="257"/>
      <c r="I10" s="191"/>
    </row>
    <row r="11" spans="1:9" s="104" customFormat="1" ht="15.75">
      <c r="A11" s="193">
        <v>6</v>
      </c>
      <c r="B11" s="181" t="s">
        <v>3</v>
      </c>
      <c r="C11" s="194">
        <v>565</v>
      </c>
      <c r="D11" s="186">
        <v>52</v>
      </c>
      <c r="E11" s="226">
        <v>39</v>
      </c>
      <c r="F11" s="238">
        <v>14.501</v>
      </c>
      <c r="G11" s="239">
        <f>ROUNDDOWN(D11*E11*F11/1000,1)</f>
        <v>29.4</v>
      </c>
      <c r="H11" s="256"/>
      <c r="I11" s="191"/>
    </row>
    <row r="12" spans="1:9" s="104" customFormat="1" ht="15.75" customHeight="1">
      <c r="A12" s="193">
        <v>7</v>
      </c>
      <c r="B12" s="181" t="s">
        <v>4</v>
      </c>
      <c r="C12" s="194">
        <v>39</v>
      </c>
      <c r="D12" s="186">
        <v>831</v>
      </c>
      <c r="E12" s="226">
        <v>39</v>
      </c>
      <c r="F12" s="238">
        <v>1.008</v>
      </c>
      <c r="G12" s="239">
        <f>ROUNDDOWN(D12*E12*F12/1000,1)+0.1</f>
        <v>32.7</v>
      </c>
      <c r="H12" s="256"/>
      <c r="I12" s="191"/>
    </row>
    <row r="13" spans="1:10" s="201" customFormat="1" ht="15.75">
      <c r="A13" s="198">
        <v>8</v>
      </c>
      <c r="B13" s="199" t="s">
        <v>5</v>
      </c>
      <c r="C13" s="200">
        <v>255</v>
      </c>
      <c r="D13" s="186">
        <v>165</v>
      </c>
      <c r="E13" s="226">
        <v>39</v>
      </c>
      <c r="F13" s="238">
        <v>6.538</v>
      </c>
      <c r="G13" s="239">
        <f>ROUNDDOWN(D13*E13*F13/1000,1)</f>
        <v>42</v>
      </c>
      <c r="H13" s="256"/>
      <c r="I13" s="191"/>
      <c r="J13" s="104"/>
    </row>
    <row r="14" spans="1:9" s="104" customFormat="1" ht="15.75">
      <c r="A14" s="193">
        <v>9</v>
      </c>
      <c r="B14" s="181" t="s">
        <v>6</v>
      </c>
      <c r="C14" s="194">
        <v>314</v>
      </c>
      <c r="D14" s="186">
        <v>37</v>
      </c>
      <c r="E14" s="226">
        <v>39</v>
      </c>
      <c r="F14" s="238">
        <v>8.044</v>
      </c>
      <c r="G14" s="239">
        <f>ROUNDDOWN(D14*E14*F14/1000,1)</f>
        <v>11.6</v>
      </c>
      <c r="H14" s="256"/>
      <c r="I14" s="191"/>
    </row>
    <row r="15" spans="1:9" s="104" customFormat="1" ht="15.75">
      <c r="A15" s="198">
        <v>10</v>
      </c>
      <c r="B15" s="202" t="s">
        <v>7</v>
      </c>
      <c r="C15" s="203">
        <v>184</v>
      </c>
      <c r="D15" s="186">
        <v>183</v>
      </c>
      <c r="E15" s="226">
        <v>39</v>
      </c>
      <c r="F15" s="238">
        <v>4.732</v>
      </c>
      <c r="G15" s="239">
        <f>ROUNDDOWN(D15*E15*F15/1000,1)</f>
        <v>33.7</v>
      </c>
      <c r="H15" s="256"/>
      <c r="I15" s="191"/>
    </row>
    <row r="16" spans="1:9" s="104" customFormat="1" ht="15.75">
      <c r="A16" s="193">
        <v>11</v>
      </c>
      <c r="B16" s="202" t="s">
        <v>8</v>
      </c>
      <c r="C16" s="203">
        <v>287</v>
      </c>
      <c r="D16" s="186">
        <v>98</v>
      </c>
      <c r="E16" s="226">
        <v>39</v>
      </c>
      <c r="F16" s="238">
        <v>7.346</v>
      </c>
      <c r="G16" s="239">
        <f>ROUNDDOWN(D16*E16*F16/1000,1)+0.1</f>
        <v>28.1</v>
      </c>
      <c r="H16" s="256"/>
      <c r="I16" s="191"/>
    </row>
    <row r="17" spans="1:9" s="104" customFormat="1" ht="15.75">
      <c r="A17" s="198">
        <v>12</v>
      </c>
      <c r="B17" s="202" t="s">
        <v>9</v>
      </c>
      <c r="C17" s="203">
        <v>142</v>
      </c>
      <c r="D17" s="186">
        <v>234</v>
      </c>
      <c r="E17" s="226">
        <v>39</v>
      </c>
      <c r="F17" s="238">
        <v>3.628</v>
      </c>
      <c r="G17" s="239">
        <f>ROUNDDOWN(D17*E17*F17/1000,1)+0.1</f>
        <v>33.2</v>
      </c>
      <c r="H17" s="256"/>
      <c r="I17" s="191"/>
    </row>
    <row r="18" spans="1:9" s="104" customFormat="1" ht="15.75">
      <c r="A18" s="193">
        <v>13</v>
      </c>
      <c r="B18" s="202" t="s">
        <v>10</v>
      </c>
      <c r="C18" s="203">
        <v>67</v>
      </c>
      <c r="D18" s="186">
        <v>633</v>
      </c>
      <c r="E18" s="226">
        <v>39</v>
      </c>
      <c r="F18" s="238">
        <v>1.733</v>
      </c>
      <c r="G18" s="239">
        <f>ROUNDDOWN(D18*E18*F18/1000,1)</f>
        <v>42.7</v>
      </c>
      <c r="H18" s="256"/>
      <c r="I18" s="191"/>
    </row>
    <row r="19" spans="1:9" s="104" customFormat="1" ht="19.5" customHeight="1">
      <c r="A19" s="198">
        <v>14</v>
      </c>
      <c r="B19" s="202" t="s">
        <v>11</v>
      </c>
      <c r="C19" s="203">
        <v>272</v>
      </c>
      <c r="D19" s="186">
        <v>68</v>
      </c>
      <c r="E19" s="226">
        <v>39</v>
      </c>
      <c r="F19" s="238">
        <v>7.012</v>
      </c>
      <c r="G19" s="239">
        <f>ROUNDDOWN(D19*E19*F19/1000,1)</f>
        <v>18.5</v>
      </c>
      <c r="H19" s="256"/>
      <c r="I19" s="191"/>
    </row>
    <row r="20" spans="1:9" s="104" customFormat="1" ht="15.75">
      <c r="A20" s="193">
        <v>15</v>
      </c>
      <c r="B20" s="202" t="s">
        <v>12</v>
      </c>
      <c r="C20" s="203">
        <v>253</v>
      </c>
      <c r="D20" s="186">
        <v>180</v>
      </c>
      <c r="E20" s="226">
        <v>39</v>
      </c>
      <c r="F20" s="238">
        <v>6.487</v>
      </c>
      <c r="G20" s="239">
        <f>ROUNDDOWN(D20*E20*F20/1000,1)</f>
        <v>45.5</v>
      </c>
      <c r="H20" s="256"/>
      <c r="I20" s="191"/>
    </row>
    <row r="21" spans="1:10" s="205" customFormat="1" ht="25.5" customHeight="1">
      <c r="A21" s="198">
        <v>16</v>
      </c>
      <c r="B21" s="133" t="s">
        <v>13</v>
      </c>
      <c r="C21" s="204">
        <v>225</v>
      </c>
      <c r="D21" s="186">
        <v>157</v>
      </c>
      <c r="E21" s="226">
        <v>39</v>
      </c>
      <c r="F21" s="238">
        <v>5.766</v>
      </c>
      <c r="G21" s="239">
        <f>ROUNDDOWN(D21*E21*F21/1000,1)+0.1</f>
        <v>35.4</v>
      </c>
      <c r="H21" s="256"/>
      <c r="I21" s="191"/>
      <c r="J21" s="104"/>
    </row>
    <row r="22" spans="1:10" s="126" customFormat="1" ht="19.5" customHeight="1">
      <c r="A22" s="193">
        <v>17</v>
      </c>
      <c r="B22" s="133" t="s">
        <v>14</v>
      </c>
      <c r="C22" s="204">
        <v>567</v>
      </c>
      <c r="D22" s="206">
        <v>27</v>
      </c>
      <c r="E22" s="226">
        <v>39</v>
      </c>
      <c r="F22" s="238">
        <v>14.538</v>
      </c>
      <c r="G22" s="239">
        <f>ROUNDDOWN(D22*E22*F22/1000,1)</f>
        <v>15.3</v>
      </c>
      <c r="H22" s="256"/>
      <c r="I22" s="191"/>
      <c r="J22" s="104"/>
    </row>
    <row r="23" spans="1:9" s="104" customFormat="1" ht="15.75">
      <c r="A23" s="198">
        <v>18</v>
      </c>
      <c r="B23" s="202" t="s">
        <v>15</v>
      </c>
      <c r="C23" s="203">
        <v>196</v>
      </c>
      <c r="D23" s="186">
        <v>70</v>
      </c>
      <c r="E23" s="226">
        <v>39</v>
      </c>
      <c r="F23" s="238">
        <v>5.026</v>
      </c>
      <c r="G23" s="239">
        <f>ROUNDDOWN(D23*E23*F23/1000,1)</f>
        <v>13.7</v>
      </c>
      <c r="H23" s="256"/>
      <c r="I23" s="191"/>
    </row>
    <row r="24" spans="1:10" s="205" customFormat="1" ht="21" customHeight="1">
      <c r="A24" s="193">
        <v>19</v>
      </c>
      <c r="B24" s="133" t="s">
        <v>16</v>
      </c>
      <c r="C24" s="204">
        <v>144</v>
      </c>
      <c r="D24" s="186">
        <v>245</v>
      </c>
      <c r="E24" s="226">
        <v>39</v>
      </c>
      <c r="F24" s="238">
        <v>3.702</v>
      </c>
      <c r="G24" s="239">
        <f>ROUNDDOWN(D24*E24*F24/1000,1)+0.1</f>
        <v>35.4</v>
      </c>
      <c r="H24" s="256"/>
      <c r="I24" s="191"/>
      <c r="J24" s="104"/>
    </row>
    <row r="25" spans="1:9" s="104" customFormat="1" ht="15.75">
      <c r="A25" s="198">
        <v>20</v>
      </c>
      <c r="B25" s="202" t="s">
        <v>17</v>
      </c>
      <c r="C25" s="203">
        <v>180</v>
      </c>
      <c r="D25" s="186">
        <v>180</v>
      </c>
      <c r="E25" s="226">
        <v>39</v>
      </c>
      <c r="F25" s="238">
        <v>4.629</v>
      </c>
      <c r="G25" s="239">
        <f>ROUNDDOWN(D25*E25*F25/1000,1)</f>
        <v>32.4</v>
      </c>
      <c r="H25" s="256"/>
      <c r="I25" s="191"/>
    </row>
    <row r="26" spans="1:9" s="104" customFormat="1" ht="15.75">
      <c r="A26" s="193">
        <v>21</v>
      </c>
      <c r="B26" s="202" t="s">
        <v>18</v>
      </c>
      <c r="C26" s="203">
        <v>348</v>
      </c>
      <c r="D26" s="186">
        <v>63</v>
      </c>
      <c r="E26" s="226">
        <v>39</v>
      </c>
      <c r="F26" s="238">
        <v>8.923</v>
      </c>
      <c r="G26" s="239">
        <f>ROUNDDOWN(D26*E26*F26/1000,1)</f>
        <v>21.9</v>
      </c>
      <c r="H26" s="256"/>
      <c r="I26" s="191"/>
    </row>
    <row r="27" spans="1:10" s="126" customFormat="1" ht="15" customHeight="1">
      <c r="A27" s="198">
        <v>22</v>
      </c>
      <c r="B27" s="133" t="s">
        <v>19</v>
      </c>
      <c r="C27" s="204">
        <v>136</v>
      </c>
      <c r="D27" s="206">
        <v>260</v>
      </c>
      <c r="E27" s="226">
        <v>39</v>
      </c>
      <c r="F27" s="238">
        <v>3.487</v>
      </c>
      <c r="G27" s="239">
        <f>ROUNDDOWN(D27*E27*F27/1000,1)+0.1</f>
        <v>35.4</v>
      </c>
      <c r="H27" s="256"/>
      <c r="I27" s="191"/>
      <c r="J27" s="104"/>
    </row>
    <row r="28" spans="1:10" s="205" customFormat="1" ht="18.75" customHeight="1">
      <c r="A28" s="193">
        <v>23</v>
      </c>
      <c r="B28" s="133" t="s">
        <v>20</v>
      </c>
      <c r="C28" s="204">
        <v>923</v>
      </c>
      <c r="D28" s="186">
        <v>22</v>
      </c>
      <c r="E28" s="226">
        <v>39</v>
      </c>
      <c r="F28" s="238">
        <v>23.655</v>
      </c>
      <c r="G28" s="239">
        <f>ROUNDDOWN(D28*E28*F28/1000,1)+0.1</f>
        <v>20.3</v>
      </c>
      <c r="H28" s="256"/>
      <c r="I28" s="191"/>
      <c r="J28" s="104"/>
    </row>
    <row r="29" spans="1:9" s="104" customFormat="1" ht="15.75">
      <c r="A29" s="198">
        <v>24</v>
      </c>
      <c r="B29" s="202" t="s">
        <v>21</v>
      </c>
      <c r="C29" s="203">
        <v>549</v>
      </c>
      <c r="D29" s="186">
        <v>39</v>
      </c>
      <c r="E29" s="226">
        <v>39</v>
      </c>
      <c r="F29" s="238">
        <v>14.066</v>
      </c>
      <c r="G29" s="239">
        <f>ROUNDDOWN(D29*E29*F29/1000,1)+0.1</f>
        <v>21.400000000000002</v>
      </c>
      <c r="H29" s="256"/>
      <c r="I29" s="191"/>
    </row>
    <row r="30" spans="1:9" s="104" customFormat="1" ht="15.75">
      <c r="A30" s="193">
        <v>25</v>
      </c>
      <c r="B30" s="202" t="s">
        <v>22</v>
      </c>
      <c r="C30" s="203">
        <v>678</v>
      </c>
      <c r="D30" s="186">
        <v>40</v>
      </c>
      <c r="E30" s="226">
        <v>39</v>
      </c>
      <c r="F30" s="238">
        <v>17.385</v>
      </c>
      <c r="G30" s="239">
        <f>ROUNDDOWN(D30*E30*F30/1000,1)</f>
        <v>27.1</v>
      </c>
      <c r="H30" s="256"/>
      <c r="I30" s="191"/>
    </row>
    <row r="31" spans="1:9" s="104" customFormat="1" ht="15.75">
      <c r="A31" s="198">
        <v>26</v>
      </c>
      <c r="B31" s="202" t="s">
        <v>23</v>
      </c>
      <c r="C31" s="203">
        <v>280</v>
      </c>
      <c r="D31" s="186">
        <v>112</v>
      </c>
      <c r="E31" s="226">
        <v>39</v>
      </c>
      <c r="F31" s="238">
        <v>7.168</v>
      </c>
      <c r="G31" s="239">
        <f>ROUNDDOWN(D31*E31*F31/1000,1)+0.1</f>
        <v>31.400000000000002</v>
      </c>
      <c r="H31" s="256"/>
      <c r="I31" s="191"/>
    </row>
    <row r="32" spans="1:9" s="104" customFormat="1" ht="19.5" customHeight="1">
      <c r="A32" s="193">
        <v>27</v>
      </c>
      <c r="B32" s="202" t="s">
        <v>24</v>
      </c>
      <c r="C32" s="203">
        <v>244</v>
      </c>
      <c r="D32" s="186">
        <v>113</v>
      </c>
      <c r="E32" s="226">
        <v>39</v>
      </c>
      <c r="F32" s="238">
        <v>6.254</v>
      </c>
      <c r="G32" s="239">
        <f>ROUNDDOWN(D32*E32*F32/1000,1)+0.1</f>
        <v>27.6</v>
      </c>
      <c r="H32" s="256"/>
      <c r="I32" s="191"/>
    </row>
    <row r="33" spans="1:9" s="104" customFormat="1" ht="18" customHeight="1">
      <c r="A33" s="198">
        <v>28</v>
      </c>
      <c r="B33" s="202" t="s">
        <v>25</v>
      </c>
      <c r="C33" s="203">
        <v>543</v>
      </c>
      <c r="D33" s="186">
        <v>53</v>
      </c>
      <c r="E33" s="226">
        <v>39</v>
      </c>
      <c r="F33" s="238">
        <v>13.887</v>
      </c>
      <c r="G33" s="239">
        <f>ROUNDDOWN(D33*E33*F33/1000,1)+0.1</f>
        <v>28.8</v>
      </c>
      <c r="H33" s="256"/>
      <c r="I33" s="191"/>
    </row>
    <row r="34" spans="1:10" s="126" customFormat="1" ht="18.75" customHeight="1">
      <c r="A34" s="193">
        <v>29</v>
      </c>
      <c r="B34" s="133" t="s">
        <v>26</v>
      </c>
      <c r="C34" s="204">
        <v>1573</v>
      </c>
      <c r="D34" s="206">
        <v>40</v>
      </c>
      <c r="E34" s="226">
        <v>39</v>
      </c>
      <c r="F34" s="238">
        <v>40.321</v>
      </c>
      <c r="G34" s="239">
        <f>ROUNDDOWN(D34*E34*F34/1000,1)</f>
        <v>62.9</v>
      </c>
      <c r="H34" s="256"/>
      <c r="I34" s="191"/>
      <c r="J34" s="104"/>
    </row>
    <row r="35" spans="1:10" s="126" customFormat="1" ht="24" customHeight="1">
      <c r="A35" s="130">
        <v>30</v>
      </c>
      <c r="B35" s="133" t="s">
        <v>27</v>
      </c>
      <c r="C35" s="204">
        <v>488</v>
      </c>
      <c r="D35" s="206">
        <v>43</v>
      </c>
      <c r="E35" s="226">
        <v>39</v>
      </c>
      <c r="F35" s="238">
        <v>12.465</v>
      </c>
      <c r="G35" s="239">
        <f>ROUNDDOWN(D35*E35*F35/1000,1)+0.1</f>
        <v>21</v>
      </c>
      <c r="H35" s="256"/>
      <c r="I35" s="191"/>
      <c r="J35" s="104"/>
    </row>
    <row r="36" spans="1:9" s="104" customFormat="1" ht="15.75">
      <c r="A36" s="193">
        <v>31</v>
      </c>
      <c r="B36" s="202" t="s">
        <v>28</v>
      </c>
      <c r="C36" s="203">
        <v>304</v>
      </c>
      <c r="D36" s="186">
        <v>108</v>
      </c>
      <c r="E36" s="226">
        <v>39</v>
      </c>
      <c r="F36" s="238">
        <v>7.793</v>
      </c>
      <c r="G36" s="239">
        <f>ROUNDDOWN(D36*E36*F36/1000,1)</f>
        <v>32.8</v>
      </c>
      <c r="H36" s="256"/>
      <c r="I36" s="191"/>
    </row>
    <row r="37" spans="1:9" s="104" customFormat="1" ht="15.75">
      <c r="A37" s="198">
        <v>32</v>
      </c>
      <c r="B37" s="202" t="s">
        <v>29</v>
      </c>
      <c r="C37" s="203">
        <v>536</v>
      </c>
      <c r="D37" s="186">
        <v>70</v>
      </c>
      <c r="E37" s="226">
        <v>39</v>
      </c>
      <c r="F37" s="238">
        <v>13.729</v>
      </c>
      <c r="G37" s="239">
        <f>ROUNDDOWN(D37*E37*F37/1000,1)+0.1</f>
        <v>37.5</v>
      </c>
      <c r="H37" s="256"/>
      <c r="I37" s="191"/>
    </row>
    <row r="38" spans="1:9" s="104" customFormat="1" ht="15.75">
      <c r="A38" s="193">
        <v>33</v>
      </c>
      <c r="B38" s="202" t="s">
        <v>30</v>
      </c>
      <c r="C38" s="203">
        <v>298</v>
      </c>
      <c r="D38" s="186">
        <v>40</v>
      </c>
      <c r="E38" s="226">
        <v>39</v>
      </c>
      <c r="F38" s="238">
        <v>7.573</v>
      </c>
      <c r="G38" s="239">
        <f>ROUNDDOWN(D38*E38*F38/1000,1)+0.1</f>
        <v>11.9</v>
      </c>
      <c r="H38" s="256"/>
      <c r="I38" s="191"/>
    </row>
    <row r="39" spans="1:9" s="104" customFormat="1" ht="15.75">
      <c r="A39" s="198">
        <v>34</v>
      </c>
      <c r="B39" s="202" t="s">
        <v>31</v>
      </c>
      <c r="C39" s="203">
        <v>315</v>
      </c>
      <c r="D39" s="186">
        <v>118</v>
      </c>
      <c r="E39" s="226">
        <v>39</v>
      </c>
      <c r="F39" s="238">
        <v>8.07</v>
      </c>
      <c r="G39" s="239">
        <f>ROUNDDOWN(D39*E39*F39/1000,1)+0.1</f>
        <v>37.2</v>
      </c>
      <c r="H39" s="256"/>
      <c r="I39" s="191"/>
    </row>
    <row r="40" spans="1:10" s="205" customFormat="1" ht="22.5" customHeight="1">
      <c r="A40" s="193">
        <v>35</v>
      </c>
      <c r="B40" s="133" t="s">
        <v>32</v>
      </c>
      <c r="C40" s="204">
        <v>5771</v>
      </c>
      <c r="D40" s="186">
        <v>7</v>
      </c>
      <c r="E40" s="226">
        <v>39</v>
      </c>
      <c r="F40" s="238">
        <v>147.982</v>
      </c>
      <c r="G40" s="239">
        <f>ROUNDDOWN(D40*E40*F40/1000,1)+0.1</f>
        <v>40.4</v>
      </c>
      <c r="H40" s="256"/>
      <c r="I40" s="191"/>
      <c r="J40" s="104"/>
    </row>
    <row r="41" spans="1:10" s="205" customFormat="1" ht="16.5" customHeight="1">
      <c r="A41" s="198">
        <v>36</v>
      </c>
      <c r="B41" s="133" t="s">
        <v>33</v>
      </c>
      <c r="C41" s="204">
        <v>70</v>
      </c>
      <c r="D41" s="186">
        <v>180</v>
      </c>
      <c r="E41" s="226">
        <v>39</v>
      </c>
      <c r="F41" s="238">
        <v>1.795</v>
      </c>
      <c r="G41" s="239">
        <f>ROUNDDOWN(D41*E41*F41/1000,1)</f>
        <v>12.6</v>
      </c>
      <c r="H41" s="256"/>
      <c r="I41" s="191"/>
      <c r="J41" s="104"/>
    </row>
    <row r="42" spans="1:10" s="205" customFormat="1" ht="21" customHeight="1">
      <c r="A42" s="193">
        <v>37</v>
      </c>
      <c r="B42" s="133" t="s">
        <v>34</v>
      </c>
      <c r="C42" s="204">
        <v>121</v>
      </c>
      <c r="D42" s="186">
        <v>85</v>
      </c>
      <c r="E42" s="226">
        <v>39</v>
      </c>
      <c r="F42" s="238">
        <v>3.077</v>
      </c>
      <c r="G42" s="239">
        <f>ROUNDDOWN(D42*E42*F42/1000,1)+0.1</f>
        <v>10.299999999999999</v>
      </c>
      <c r="H42" s="256"/>
      <c r="I42" s="191"/>
      <c r="J42" s="104"/>
    </row>
    <row r="43" spans="1:10" s="205" customFormat="1" ht="15.75">
      <c r="A43" s="198">
        <v>38</v>
      </c>
      <c r="B43" s="133" t="s">
        <v>35</v>
      </c>
      <c r="C43" s="204">
        <v>387</v>
      </c>
      <c r="D43" s="210">
        <v>45</v>
      </c>
      <c r="E43" s="226">
        <v>39</v>
      </c>
      <c r="F43" s="238">
        <v>9.923</v>
      </c>
      <c r="G43" s="239">
        <f>ROUNDDOWN(D43*E43*F43/1000,1)</f>
        <v>17.4</v>
      </c>
      <c r="H43" s="256"/>
      <c r="I43" s="191"/>
      <c r="J43" s="104"/>
    </row>
    <row r="44" spans="1:9" s="104" customFormat="1" ht="16.5" thickBot="1">
      <c r="A44" s="193">
        <v>39</v>
      </c>
      <c r="B44" s="214" t="s">
        <v>36</v>
      </c>
      <c r="C44" s="240">
        <v>1089</v>
      </c>
      <c r="D44" s="241">
        <v>28</v>
      </c>
      <c r="E44" s="226">
        <v>39</v>
      </c>
      <c r="F44" s="255">
        <v>25.7</v>
      </c>
      <c r="G44" s="239">
        <f>ROUNDDOWN(D44*E44*F44/1000,1)+2.5</f>
        <v>30.5</v>
      </c>
      <c r="H44" s="256"/>
      <c r="I44" s="191"/>
    </row>
    <row r="45" spans="1:9" s="205" customFormat="1" ht="32.25" thickBot="1">
      <c r="A45" s="139"/>
      <c r="B45" s="140" t="s">
        <v>78</v>
      </c>
      <c r="C45" s="242"/>
      <c r="D45" s="232">
        <f>SUM(D6:D44)</f>
        <v>5955</v>
      </c>
      <c r="E45" s="220"/>
      <c r="F45" s="220"/>
      <c r="G45" s="189">
        <f>SUM(G6:G44)</f>
        <v>1124.2999999999997</v>
      </c>
      <c r="H45" s="189"/>
      <c r="I45" s="189"/>
    </row>
    <row r="46" spans="1:7" s="104" customFormat="1" ht="18" customHeight="1">
      <c r="A46" s="145"/>
      <c r="B46" s="146"/>
      <c r="C46" s="221"/>
      <c r="D46" s="167">
        <f>SUM(D6:D13)</f>
        <v>2377</v>
      </c>
      <c r="E46" s="243">
        <f>D46/8</f>
        <v>297.125</v>
      </c>
      <c r="F46" s="243"/>
      <c r="G46" s="244"/>
    </row>
    <row r="47" spans="1:6" s="104" customFormat="1" ht="15.75">
      <c r="A47" s="150"/>
      <c r="B47" s="221" t="s">
        <v>65</v>
      </c>
      <c r="C47" s="221"/>
      <c r="E47" s="167"/>
      <c r="F47" s="167"/>
    </row>
    <row r="48" spans="1:6" s="104" customFormat="1" ht="15.75">
      <c r="A48" s="150"/>
      <c r="B48" s="151" t="s">
        <v>66</v>
      </c>
      <c r="C48" s="151"/>
      <c r="D48" s="245">
        <f>D45-D46</f>
        <v>3578</v>
      </c>
      <c r="E48" s="243">
        <f>D48/31</f>
        <v>115.41935483870968</v>
      </c>
      <c r="F48" s="243"/>
    </row>
    <row r="49" spans="1:3" s="104" customFormat="1" ht="15.75">
      <c r="A49" s="150"/>
      <c r="B49" s="151"/>
      <c r="C49" s="151"/>
    </row>
    <row r="50" spans="1:3" s="104" customFormat="1" ht="15.75">
      <c r="A50" s="150"/>
      <c r="B50" s="151"/>
      <c r="C50" s="151"/>
    </row>
    <row r="51" spans="1:3" s="104" customFormat="1" ht="15.75">
      <c r="A51" s="150"/>
      <c r="B51" s="153"/>
      <c r="C51" s="153"/>
    </row>
    <row r="52" spans="1:3" s="104" customFormat="1" ht="15.75">
      <c r="A52" s="150"/>
      <c r="B52" s="153"/>
      <c r="C52" s="153"/>
    </row>
    <row r="53" spans="1:3" s="104" customFormat="1" ht="16.5" customHeight="1">
      <c r="A53" s="150"/>
      <c r="B53" s="151"/>
      <c r="C53" s="151"/>
    </row>
    <row r="54" spans="1:3" s="104" customFormat="1" ht="15.75">
      <c r="A54" s="150"/>
      <c r="B54" s="151"/>
      <c r="C54" s="151"/>
    </row>
    <row r="55" spans="1:3" s="104" customFormat="1" ht="15.75">
      <c r="A55" s="150"/>
      <c r="B55" s="151"/>
      <c r="C55" s="151"/>
    </row>
    <row r="56" spans="1:3" s="104" customFormat="1" ht="15.75">
      <c r="A56" s="150"/>
      <c r="B56" s="151"/>
      <c r="C56" s="151"/>
    </row>
    <row r="57" spans="1:3" s="104" customFormat="1" ht="15.75">
      <c r="A57" s="150"/>
      <c r="B57" s="151"/>
      <c r="C57" s="151"/>
    </row>
    <row r="58" spans="1:3" s="104" customFormat="1" ht="15.75">
      <c r="A58" s="150"/>
      <c r="B58" s="151"/>
      <c r="C58" s="151"/>
    </row>
    <row r="59" spans="1:3" s="104" customFormat="1" ht="15.75">
      <c r="A59" s="150"/>
      <c r="B59" s="154"/>
      <c r="C59" s="154"/>
    </row>
    <row r="60" spans="1:3" s="157" customFormat="1" ht="16.5" customHeight="1">
      <c r="A60" s="283"/>
      <c r="B60" s="283"/>
      <c r="C60" s="156"/>
    </row>
    <row r="61" spans="1:3" ht="15.75">
      <c r="A61" s="150"/>
      <c r="B61" s="153"/>
      <c r="C61" s="153"/>
    </row>
    <row r="62" spans="1:3" ht="15.75">
      <c r="A62" s="150"/>
      <c r="B62" s="153"/>
      <c r="C62" s="153"/>
    </row>
    <row r="63" spans="1:3" ht="15.75">
      <c r="A63" s="150"/>
      <c r="B63" s="153"/>
      <c r="C63" s="153"/>
    </row>
    <row r="64" spans="1:3" ht="15.75">
      <c r="A64" s="150"/>
      <c r="B64" s="153"/>
      <c r="C64" s="153"/>
    </row>
    <row r="65" spans="1:3" ht="18" customHeight="1">
      <c r="A65" s="150"/>
      <c r="B65" s="153"/>
      <c r="C65" s="153"/>
    </row>
    <row r="66" spans="1:3" ht="15.75">
      <c r="A66" s="150"/>
      <c r="B66" s="153"/>
      <c r="C66" s="153"/>
    </row>
    <row r="67" spans="1:3" ht="15.75">
      <c r="A67" s="150"/>
      <c r="B67" s="153"/>
      <c r="C67" s="153"/>
    </row>
    <row r="68" spans="1:3" ht="15.75">
      <c r="A68" s="150"/>
      <c r="B68" s="153"/>
      <c r="C68" s="153"/>
    </row>
    <row r="69" spans="1:3" ht="15.75">
      <c r="A69" s="150"/>
      <c r="B69" s="153"/>
      <c r="C69" s="153"/>
    </row>
    <row r="70" spans="1:3" ht="15.75">
      <c r="A70" s="150"/>
      <c r="B70" s="153"/>
      <c r="C70" s="153"/>
    </row>
    <row r="71" spans="1:3" ht="15.75">
      <c r="A71" s="150"/>
      <c r="B71" s="151"/>
      <c r="C71" s="151"/>
    </row>
    <row r="72" spans="1:3" ht="15.75">
      <c r="A72" s="150"/>
      <c r="B72" s="151"/>
      <c r="C72" s="151"/>
    </row>
    <row r="73" spans="1:3" ht="15.75">
      <c r="A73" s="150"/>
      <c r="B73" s="151"/>
      <c r="C73" s="151"/>
    </row>
    <row r="74" spans="1:3" ht="15.75">
      <c r="A74" s="150"/>
      <c r="B74" s="151"/>
      <c r="C74" s="151"/>
    </row>
    <row r="75" spans="1:3" ht="15.75">
      <c r="A75" s="150"/>
      <c r="B75" s="151"/>
      <c r="C75" s="151"/>
    </row>
    <row r="76" spans="1:3" ht="15.75">
      <c r="A76" s="150"/>
      <c r="B76" s="151"/>
      <c r="C76" s="151"/>
    </row>
    <row r="77" spans="1:3" ht="15.75">
      <c r="A77" s="150"/>
      <c r="B77" s="151"/>
      <c r="C77" s="151"/>
    </row>
    <row r="78" spans="1:3" ht="15.75">
      <c r="A78" s="150"/>
      <c r="B78" s="151"/>
      <c r="C78" s="151"/>
    </row>
    <row r="79" spans="1:3" ht="15.75">
      <c r="A79" s="150"/>
      <c r="B79" s="151"/>
      <c r="C79" s="151"/>
    </row>
    <row r="80" spans="1:3" ht="15.75">
      <c r="A80" s="150"/>
      <c r="B80" s="151"/>
      <c r="C80" s="151"/>
    </row>
    <row r="81" spans="1:3" ht="15.75">
      <c r="A81" s="150"/>
      <c r="B81" s="151"/>
      <c r="C81" s="151"/>
    </row>
    <row r="82" spans="1:3" ht="15.75">
      <c r="A82" s="150"/>
      <c r="B82" s="151"/>
      <c r="C82" s="151"/>
    </row>
    <row r="83" spans="1:3" ht="15.75">
      <c r="A83" s="150"/>
      <c r="B83" s="151"/>
      <c r="C83" s="151"/>
    </row>
    <row r="84" spans="1:3" ht="15.75">
      <c r="A84" s="150"/>
      <c r="B84" s="151"/>
      <c r="C84" s="151"/>
    </row>
    <row r="85" spans="1:3" ht="15.75">
      <c r="A85" s="150"/>
      <c r="B85" s="151"/>
      <c r="C85" s="151"/>
    </row>
    <row r="86" spans="1:3" ht="15.75">
      <c r="A86" s="150"/>
      <c r="B86" s="151"/>
      <c r="C86" s="151"/>
    </row>
    <row r="87" spans="1:3" ht="15.75">
      <c r="A87" s="150"/>
      <c r="B87" s="151"/>
      <c r="C87" s="151"/>
    </row>
    <row r="88" spans="1:3" ht="15.75">
      <c r="A88" s="150"/>
      <c r="B88" s="151"/>
      <c r="C88" s="151"/>
    </row>
    <row r="89" spans="1:3" ht="15.75">
      <c r="A89" s="150"/>
      <c r="B89" s="151"/>
      <c r="C89" s="151"/>
    </row>
    <row r="90" spans="1:3" ht="15.75">
      <c r="A90" s="150"/>
      <c r="B90" s="151"/>
      <c r="C90" s="151"/>
    </row>
    <row r="91" spans="1:3" ht="15.75">
      <c r="A91" s="150"/>
      <c r="B91" s="151"/>
      <c r="C91" s="151"/>
    </row>
    <row r="92" spans="1:3" ht="15.75">
      <c r="A92" s="150"/>
      <c r="B92" s="151"/>
      <c r="C92" s="151"/>
    </row>
    <row r="93" spans="1:3" ht="15.75">
      <c r="A93" s="150"/>
      <c r="B93" s="151"/>
      <c r="C93" s="151"/>
    </row>
    <row r="94" spans="1:3" ht="15.75">
      <c r="A94" s="150"/>
      <c r="B94" s="151"/>
      <c r="C94" s="151"/>
    </row>
    <row r="95" spans="1:3" ht="15.75">
      <c r="A95" s="150"/>
      <c r="B95" s="151"/>
      <c r="C95" s="151"/>
    </row>
    <row r="96" spans="1:3" ht="15.75">
      <c r="A96" s="150"/>
      <c r="B96" s="151"/>
      <c r="C96" s="151"/>
    </row>
    <row r="97" spans="1:3" ht="15.75">
      <c r="A97" s="150"/>
      <c r="B97" s="151"/>
      <c r="C97" s="151"/>
    </row>
    <row r="98" spans="1:3" ht="15.75">
      <c r="A98" s="150"/>
      <c r="B98" s="151"/>
      <c r="C98" s="151"/>
    </row>
    <row r="99" spans="1:3" ht="15.75">
      <c r="A99" s="150"/>
      <c r="B99" s="151"/>
      <c r="C99" s="151"/>
    </row>
    <row r="100" spans="1:3" ht="15.75">
      <c r="A100" s="150"/>
      <c r="B100" s="151"/>
      <c r="C100" s="151"/>
    </row>
    <row r="101" spans="1:3" ht="15.75">
      <c r="A101" s="150"/>
      <c r="B101" s="151"/>
      <c r="C101" s="151"/>
    </row>
    <row r="102" spans="1:3" ht="15.75">
      <c r="A102" s="150"/>
      <c r="B102" s="151"/>
      <c r="C102" s="151"/>
    </row>
    <row r="103" spans="1:3" ht="15.75">
      <c r="A103" s="150"/>
      <c r="B103" s="151"/>
      <c r="C103" s="151"/>
    </row>
    <row r="104" spans="1:3" ht="15.75">
      <c r="A104" s="150"/>
      <c r="B104" s="151"/>
      <c r="C104" s="151"/>
    </row>
    <row r="105" spans="1:3" ht="15.75">
      <c r="A105" s="161"/>
      <c r="B105" s="162"/>
      <c r="C105" s="162"/>
    </row>
    <row r="106" spans="1:3" ht="18.75">
      <c r="A106" s="163"/>
      <c r="B106" s="163"/>
      <c r="C106" s="163"/>
    </row>
    <row r="107" spans="1:3" ht="12.75">
      <c r="A107" s="161"/>
      <c r="B107" s="161"/>
      <c r="C107" s="161"/>
    </row>
  </sheetData>
  <sheetProtection/>
  <mergeCells count="11">
    <mergeCell ref="I2:I5"/>
    <mergeCell ref="F2:F5"/>
    <mergeCell ref="D2:D3"/>
    <mergeCell ref="E2:E5"/>
    <mergeCell ref="G2:G5"/>
    <mergeCell ref="A60:B60"/>
    <mergeCell ref="A1:B1"/>
    <mergeCell ref="A2:A5"/>
    <mergeCell ref="B2:B4"/>
    <mergeCell ref="C2:C5"/>
    <mergeCell ref="H2:H5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="60" zoomScaleNormal="79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" sqref="I1:J16384"/>
    </sheetView>
  </sheetViews>
  <sheetFormatPr defaultColWidth="9.140625" defaultRowHeight="12.75"/>
  <cols>
    <col min="1" max="1" width="9.00390625" style="165" customWidth="1"/>
    <col min="2" max="2" width="36.140625" style="165" customWidth="1"/>
    <col min="3" max="3" width="23.7109375" style="165" customWidth="1"/>
    <col min="4" max="4" width="35.421875" style="159" customWidth="1"/>
    <col min="5" max="5" width="41.140625" style="159" customWidth="1"/>
    <col min="6" max="7" width="19.421875" style="159" customWidth="1"/>
    <col min="8" max="8" width="16.421875" style="159" customWidth="1"/>
    <col min="9" max="9" width="18.8515625" style="159" customWidth="1"/>
    <col min="10" max="10" width="23.8515625" style="159" customWidth="1"/>
    <col min="11" max="16384" width="9.140625" style="159" customWidth="1"/>
  </cols>
  <sheetData>
    <row r="1" spans="1:7" s="104" customFormat="1" ht="18.75">
      <c r="A1" s="271"/>
      <c r="B1" s="271"/>
      <c r="C1" s="103"/>
      <c r="G1" s="104" t="s">
        <v>102</v>
      </c>
    </row>
    <row r="2" spans="1:8" s="104" customFormat="1" ht="15.75" customHeight="1">
      <c r="A2" s="106"/>
      <c r="B2" s="106"/>
      <c r="C2" s="246"/>
      <c r="F2" s="247"/>
      <c r="G2" s="247"/>
      <c r="H2" s="247"/>
    </row>
    <row r="3" spans="1:10" s="111" customFormat="1" ht="51.75" customHeight="1">
      <c r="A3" s="321" t="s">
        <v>38</v>
      </c>
      <c r="B3" s="277" t="s">
        <v>75</v>
      </c>
      <c r="C3" s="327" t="s">
        <v>95</v>
      </c>
      <c r="D3" s="276" t="s">
        <v>67</v>
      </c>
      <c r="E3" s="276"/>
      <c r="F3" s="290" t="s">
        <v>83</v>
      </c>
      <c r="G3" s="290" t="s">
        <v>84</v>
      </c>
      <c r="H3" s="290" t="s">
        <v>87</v>
      </c>
      <c r="I3" s="277"/>
      <c r="J3" s="277"/>
    </row>
    <row r="4" spans="1:10" s="111" customFormat="1" ht="102.75" customHeight="1">
      <c r="A4" s="321"/>
      <c r="B4" s="278"/>
      <c r="C4" s="327"/>
      <c r="D4" s="325" t="s">
        <v>68</v>
      </c>
      <c r="E4" s="326"/>
      <c r="F4" s="290"/>
      <c r="G4" s="290"/>
      <c r="H4" s="290"/>
      <c r="I4" s="278"/>
      <c r="J4" s="278"/>
    </row>
    <row r="5" spans="1:10" s="111" customFormat="1" ht="64.5" customHeight="1">
      <c r="A5" s="115"/>
      <c r="B5" s="278"/>
      <c r="C5" s="327"/>
      <c r="D5" s="248" t="s">
        <v>69</v>
      </c>
      <c r="E5" s="248" t="s">
        <v>70</v>
      </c>
      <c r="F5" s="290"/>
      <c r="G5" s="290"/>
      <c r="H5" s="290"/>
      <c r="I5" s="284"/>
      <c r="J5" s="284"/>
    </row>
    <row r="6" spans="1:10" s="104" customFormat="1" ht="15.75">
      <c r="A6" s="180">
        <v>1</v>
      </c>
      <c r="B6" s="181" t="s">
        <v>0</v>
      </c>
      <c r="C6" s="225">
        <v>705</v>
      </c>
      <c r="D6" s="185">
        <v>37</v>
      </c>
      <c r="E6" s="185">
        <v>407</v>
      </c>
      <c r="F6" s="249">
        <v>173</v>
      </c>
      <c r="G6" s="188">
        <f>ROUND(C6/F6,3)</f>
        <v>4.075</v>
      </c>
      <c r="H6" s="250">
        <f>ROUND(D6*F6*G6/1000,1)</f>
        <v>26.1</v>
      </c>
      <c r="I6" s="191"/>
      <c r="J6" s="191"/>
    </row>
    <row r="7" spans="1:10" s="104" customFormat="1" ht="15.75">
      <c r="A7" s="193">
        <v>2</v>
      </c>
      <c r="B7" s="181" t="s">
        <v>62</v>
      </c>
      <c r="C7" s="225">
        <v>1084</v>
      </c>
      <c r="D7" s="185">
        <v>38</v>
      </c>
      <c r="E7" s="211">
        <v>733</v>
      </c>
      <c r="F7" s="249">
        <v>173</v>
      </c>
      <c r="G7" s="188">
        <f aca="true" t="shared" si="0" ref="G7:G43">ROUND(C7/F7,3)</f>
        <v>6.266</v>
      </c>
      <c r="H7" s="250">
        <f aca="true" t="shared" si="1" ref="H7:H43">ROUND(D7*F7*G7/1000,1)</f>
        <v>41.2</v>
      </c>
      <c r="I7" s="191"/>
      <c r="J7" s="191"/>
    </row>
    <row r="8" spans="1:10" s="104" customFormat="1" ht="15.75">
      <c r="A8" s="193">
        <v>3</v>
      </c>
      <c r="B8" s="181" t="s">
        <v>1</v>
      </c>
      <c r="C8" s="225">
        <v>810</v>
      </c>
      <c r="D8" s="185">
        <v>30</v>
      </c>
      <c r="E8" s="185">
        <v>630</v>
      </c>
      <c r="F8" s="249">
        <v>173</v>
      </c>
      <c r="G8" s="188">
        <f t="shared" si="0"/>
        <v>4.682</v>
      </c>
      <c r="H8" s="250">
        <f t="shared" si="1"/>
        <v>24.3</v>
      </c>
      <c r="I8" s="191"/>
      <c r="J8" s="191"/>
    </row>
    <row r="9" spans="1:10" s="104" customFormat="1" ht="15.75">
      <c r="A9" s="193">
        <v>4</v>
      </c>
      <c r="B9" s="181" t="s">
        <v>2</v>
      </c>
      <c r="C9" s="225">
        <v>581</v>
      </c>
      <c r="D9" s="185">
        <v>57</v>
      </c>
      <c r="E9" s="185">
        <v>446</v>
      </c>
      <c r="F9" s="249">
        <v>173</v>
      </c>
      <c r="G9" s="188">
        <f t="shared" si="0"/>
        <v>3.358</v>
      </c>
      <c r="H9" s="250">
        <f t="shared" si="1"/>
        <v>33.1</v>
      </c>
      <c r="I9" s="191"/>
      <c r="J9" s="191"/>
    </row>
    <row r="10" spans="1:10" s="104" customFormat="1" ht="15.75">
      <c r="A10" s="193">
        <v>5</v>
      </c>
      <c r="B10" s="181" t="s">
        <v>61</v>
      </c>
      <c r="C10" s="194">
        <v>864</v>
      </c>
      <c r="D10" s="186">
        <v>25</v>
      </c>
      <c r="E10" s="185">
        <v>150</v>
      </c>
      <c r="F10" s="249">
        <v>173</v>
      </c>
      <c r="G10" s="188">
        <f t="shared" si="0"/>
        <v>4.994</v>
      </c>
      <c r="H10" s="250">
        <f t="shared" si="1"/>
        <v>21.6</v>
      </c>
      <c r="I10" s="191"/>
      <c r="J10" s="191"/>
    </row>
    <row r="11" spans="1:10" s="104" customFormat="1" ht="15.75">
      <c r="A11" s="193">
        <v>6</v>
      </c>
      <c r="B11" s="181" t="s">
        <v>3</v>
      </c>
      <c r="C11" s="225">
        <v>173</v>
      </c>
      <c r="D11" s="185">
        <v>170</v>
      </c>
      <c r="E11" s="185">
        <v>703</v>
      </c>
      <c r="F11" s="249">
        <v>173</v>
      </c>
      <c r="G11" s="188">
        <f t="shared" si="0"/>
        <v>1</v>
      </c>
      <c r="H11" s="250">
        <f t="shared" si="1"/>
        <v>29.4</v>
      </c>
      <c r="I11" s="191"/>
      <c r="J11" s="191"/>
    </row>
    <row r="12" spans="1:10" s="104" customFormat="1" ht="15.75" customHeight="1">
      <c r="A12" s="193">
        <v>7</v>
      </c>
      <c r="B12" s="181" t="s">
        <v>4</v>
      </c>
      <c r="C12" s="225">
        <v>727</v>
      </c>
      <c r="D12" s="185">
        <v>45</v>
      </c>
      <c r="E12" s="185">
        <v>700</v>
      </c>
      <c r="F12" s="249">
        <v>173</v>
      </c>
      <c r="G12" s="188">
        <f t="shared" si="0"/>
        <v>4.202</v>
      </c>
      <c r="H12" s="250">
        <f t="shared" si="1"/>
        <v>32.7</v>
      </c>
      <c r="I12" s="191"/>
      <c r="J12" s="191"/>
    </row>
    <row r="13" spans="1:10" s="201" customFormat="1" ht="15.75">
      <c r="A13" s="198">
        <v>8</v>
      </c>
      <c r="B13" s="199" t="s">
        <v>5</v>
      </c>
      <c r="C13" s="227">
        <v>2800</v>
      </c>
      <c r="D13" s="185">
        <v>15</v>
      </c>
      <c r="E13" s="185">
        <v>361</v>
      </c>
      <c r="F13" s="249">
        <v>173</v>
      </c>
      <c r="G13" s="188">
        <f t="shared" si="0"/>
        <v>16.185</v>
      </c>
      <c r="H13" s="250">
        <f t="shared" si="1"/>
        <v>42</v>
      </c>
      <c r="I13" s="251"/>
      <c r="J13" s="191"/>
    </row>
    <row r="14" spans="1:10" s="104" customFormat="1" ht="15.75">
      <c r="A14" s="193">
        <v>9</v>
      </c>
      <c r="B14" s="181" t="s">
        <v>6</v>
      </c>
      <c r="C14" s="225">
        <v>773</v>
      </c>
      <c r="D14" s="185">
        <v>15</v>
      </c>
      <c r="E14" s="185">
        <v>37</v>
      </c>
      <c r="F14" s="249">
        <v>173</v>
      </c>
      <c r="G14" s="188">
        <f t="shared" si="0"/>
        <v>4.468</v>
      </c>
      <c r="H14" s="250">
        <f t="shared" si="1"/>
        <v>11.6</v>
      </c>
      <c r="I14" s="191"/>
      <c r="J14" s="191"/>
    </row>
    <row r="15" spans="1:10" s="104" customFormat="1" ht="15.75">
      <c r="A15" s="198">
        <v>10</v>
      </c>
      <c r="B15" s="202" t="s">
        <v>7</v>
      </c>
      <c r="C15" s="215">
        <v>887</v>
      </c>
      <c r="D15" s="185">
        <v>38</v>
      </c>
      <c r="E15" s="185">
        <v>162</v>
      </c>
      <c r="F15" s="249">
        <v>173</v>
      </c>
      <c r="G15" s="188">
        <f t="shared" si="0"/>
        <v>5.127</v>
      </c>
      <c r="H15" s="250">
        <f t="shared" si="1"/>
        <v>33.7</v>
      </c>
      <c r="I15" s="191"/>
      <c r="J15" s="191"/>
    </row>
    <row r="16" spans="1:10" s="104" customFormat="1" ht="15.75">
      <c r="A16" s="193">
        <v>11</v>
      </c>
      <c r="B16" s="202" t="s">
        <v>8</v>
      </c>
      <c r="C16" s="215">
        <v>803</v>
      </c>
      <c r="D16" s="185">
        <v>35</v>
      </c>
      <c r="E16" s="185">
        <v>195</v>
      </c>
      <c r="F16" s="249">
        <v>173</v>
      </c>
      <c r="G16" s="188">
        <f t="shared" si="0"/>
        <v>4.642</v>
      </c>
      <c r="H16" s="250">
        <f t="shared" si="1"/>
        <v>28.1</v>
      </c>
      <c r="I16" s="191"/>
      <c r="J16" s="191"/>
    </row>
    <row r="17" spans="1:10" s="104" customFormat="1" ht="15.75">
      <c r="A17" s="198">
        <v>12</v>
      </c>
      <c r="B17" s="202" t="s">
        <v>9</v>
      </c>
      <c r="C17" s="215">
        <v>1038</v>
      </c>
      <c r="D17" s="185">
        <v>32</v>
      </c>
      <c r="E17" s="185">
        <v>225</v>
      </c>
      <c r="F17" s="249">
        <v>173</v>
      </c>
      <c r="G17" s="188">
        <f t="shared" si="0"/>
        <v>6</v>
      </c>
      <c r="H17" s="250">
        <f t="shared" si="1"/>
        <v>33.2</v>
      </c>
      <c r="I17" s="191"/>
      <c r="J17" s="191"/>
    </row>
    <row r="18" spans="1:10" s="104" customFormat="1" ht="15.75">
      <c r="A18" s="193">
        <v>13</v>
      </c>
      <c r="B18" s="202" t="s">
        <v>10</v>
      </c>
      <c r="C18" s="215">
        <v>1423</v>
      </c>
      <c r="D18" s="185">
        <v>30</v>
      </c>
      <c r="E18" s="185">
        <v>350</v>
      </c>
      <c r="F18" s="249">
        <v>173</v>
      </c>
      <c r="G18" s="188">
        <f t="shared" si="0"/>
        <v>8.225</v>
      </c>
      <c r="H18" s="250">
        <f t="shared" si="1"/>
        <v>42.7</v>
      </c>
      <c r="I18" s="191"/>
      <c r="J18" s="191"/>
    </row>
    <row r="19" spans="1:10" s="104" customFormat="1" ht="19.5" customHeight="1">
      <c r="A19" s="198">
        <v>14</v>
      </c>
      <c r="B19" s="202" t="s">
        <v>11</v>
      </c>
      <c r="C19" s="215">
        <v>474</v>
      </c>
      <c r="D19" s="185">
        <v>39</v>
      </c>
      <c r="E19" s="185">
        <v>68</v>
      </c>
      <c r="F19" s="249">
        <v>173</v>
      </c>
      <c r="G19" s="188">
        <f t="shared" si="0"/>
        <v>2.74</v>
      </c>
      <c r="H19" s="250">
        <f t="shared" si="1"/>
        <v>18.5</v>
      </c>
      <c r="I19" s="191"/>
      <c r="J19" s="191"/>
    </row>
    <row r="20" spans="1:10" s="104" customFormat="1" ht="15.75">
      <c r="A20" s="193">
        <v>15</v>
      </c>
      <c r="B20" s="202" t="s">
        <v>12</v>
      </c>
      <c r="C20" s="215">
        <v>1517</v>
      </c>
      <c r="D20" s="185">
        <v>30</v>
      </c>
      <c r="E20" s="185">
        <v>450</v>
      </c>
      <c r="F20" s="249">
        <v>173</v>
      </c>
      <c r="G20" s="188">
        <f t="shared" si="0"/>
        <v>8.769</v>
      </c>
      <c r="H20" s="250">
        <f t="shared" si="1"/>
        <v>45.5</v>
      </c>
      <c r="I20" s="191"/>
      <c r="J20" s="191"/>
    </row>
    <row r="21" spans="1:10" s="205" customFormat="1" ht="15.75" customHeight="1">
      <c r="A21" s="198">
        <v>16</v>
      </c>
      <c r="B21" s="133" t="s">
        <v>13</v>
      </c>
      <c r="C21" s="229">
        <v>1180</v>
      </c>
      <c r="D21" s="185">
        <v>30</v>
      </c>
      <c r="E21" s="185">
        <v>150</v>
      </c>
      <c r="F21" s="249">
        <v>173</v>
      </c>
      <c r="G21" s="188">
        <f t="shared" si="0"/>
        <v>6.821</v>
      </c>
      <c r="H21" s="250">
        <f t="shared" si="1"/>
        <v>35.4</v>
      </c>
      <c r="I21" s="230"/>
      <c r="J21" s="191"/>
    </row>
    <row r="22" spans="1:10" s="126" customFormat="1" ht="19.5" customHeight="1">
      <c r="A22" s="193">
        <v>17</v>
      </c>
      <c r="B22" s="133" t="s">
        <v>14</v>
      </c>
      <c r="C22" s="229">
        <v>765</v>
      </c>
      <c r="D22" s="207">
        <v>20</v>
      </c>
      <c r="E22" s="207">
        <v>33</v>
      </c>
      <c r="F22" s="249">
        <v>173</v>
      </c>
      <c r="G22" s="188">
        <f t="shared" si="0"/>
        <v>4.422</v>
      </c>
      <c r="H22" s="250">
        <f t="shared" si="1"/>
        <v>15.3</v>
      </c>
      <c r="I22" s="234"/>
      <c r="J22" s="191"/>
    </row>
    <row r="23" spans="1:10" s="104" customFormat="1" ht="15.75">
      <c r="A23" s="198">
        <v>18</v>
      </c>
      <c r="B23" s="202" t="s">
        <v>15</v>
      </c>
      <c r="C23" s="215">
        <v>457</v>
      </c>
      <c r="D23" s="185">
        <v>30</v>
      </c>
      <c r="E23" s="185">
        <v>70</v>
      </c>
      <c r="F23" s="249">
        <v>173</v>
      </c>
      <c r="G23" s="188">
        <f t="shared" si="0"/>
        <v>2.642</v>
      </c>
      <c r="H23" s="250">
        <f t="shared" si="1"/>
        <v>13.7</v>
      </c>
      <c r="I23" s="191"/>
      <c r="J23" s="191"/>
    </row>
    <row r="24" spans="1:10" s="205" customFormat="1" ht="21" customHeight="1">
      <c r="A24" s="193">
        <v>19</v>
      </c>
      <c r="B24" s="133" t="s">
        <v>16</v>
      </c>
      <c r="C24" s="229">
        <v>1180</v>
      </c>
      <c r="D24" s="185">
        <v>30</v>
      </c>
      <c r="E24" s="185">
        <v>350</v>
      </c>
      <c r="F24" s="249">
        <v>173</v>
      </c>
      <c r="G24" s="188">
        <f t="shared" si="0"/>
        <v>6.821</v>
      </c>
      <c r="H24" s="250">
        <f t="shared" si="1"/>
        <v>35.4</v>
      </c>
      <c r="I24" s="230"/>
      <c r="J24" s="191"/>
    </row>
    <row r="25" spans="1:10" s="104" customFormat="1" ht="15.75">
      <c r="A25" s="198">
        <v>20</v>
      </c>
      <c r="B25" s="202" t="s">
        <v>17</v>
      </c>
      <c r="C25" s="215">
        <v>259</v>
      </c>
      <c r="D25" s="185">
        <v>125</v>
      </c>
      <c r="E25" s="185">
        <v>415</v>
      </c>
      <c r="F25" s="249">
        <v>173</v>
      </c>
      <c r="G25" s="188">
        <f t="shared" si="0"/>
        <v>1.497</v>
      </c>
      <c r="H25" s="250">
        <f t="shared" si="1"/>
        <v>32.4</v>
      </c>
      <c r="I25" s="191"/>
      <c r="J25" s="191"/>
    </row>
    <row r="26" spans="1:10" s="104" customFormat="1" ht="15.75">
      <c r="A26" s="193">
        <v>21</v>
      </c>
      <c r="B26" s="202" t="s">
        <v>18</v>
      </c>
      <c r="C26" s="215">
        <v>876</v>
      </c>
      <c r="D26" s="185">
        <v>25</v>
      </c>
      <c r="E26" s="185">
        <v>63</v>
      </c>
      <c r="F26" s="249">
        <v>173</v>
      </c>
      <c r="G26" s="188">
        <f t="shared" si="0"/>
        <v>5.064</v>
      </c>
      <c r="H26" s="250">
        <f t="shared" si="1"/>
        <v>21.9</v>
      </c>
      <c r="I26" s="191"/>
      <c r="J26" s="191"/>
    </row>
    <row r="27" spans="1:10" s="126" customFormat="1" ht="15" customHeight="1">
      <c r="A27" s="198">
        <v>22</v>
      </c>
      <c r="B27" s="133" t="s">
        <v>19</v>
      </c>
      <c r="C27" s="229">
        <v>1180</v>
      </c>
      <c r="D27" s="207">
        <v>30</v>
      </c>
      <c r="E27" s="207">
        <v>200</v>
      </c>
      <c r="F27" s="249">
        <v>173</v>
      </c>
      <c r="G27" s="188">
        <f t="shared" si="0"/>
        <v>6.821</v>
      </c>
      <c r="H27" s="250">
        <f t="shared" si="1"/>
        <v>35.4</v>
      </c>
      <c r="I27" s="234"/>
      <c r="J27" s="191"/>
    </row>
    <row r="28" spans="1:10" s="205" customFormat="1" ht="18.75" customHeight="1">
      <c r="A28" s="193">
        <v>23</v>
      </c>
      <c r="B28" s="133" t="s">
        <v>20</v>
      </c>
      <c r="C28" s="229">
        <v>846</v>
      </c>
      <c r="D28" s="185">
        <v>24</v>
      </c>
      <c r="E28" s="185">
        <v>64</v>
      </c>
      <c r="F28" s="249">
        <v>173</v>
      </c>
      <c r="G28" s="188">
        <f t="shared" si="0"/>
        <v>4.89</v>
      </c>
      <c r="H28" s="250">
        <f t="shared" si="1"/>
        <v>20.3</v>
      </c>
      <c r="I28" s="230"/>
      <c r="J28" s="191"/>
    </row>
    <row r="29" spans="1:10" s="104" customFormat="1" ht="15.75">
      <c r="A29" s="198">
        <v>24</v>
      </c>
      <c r="B29" s="202" t="s">
        <v>21</v>
      </c>
      <c r="C29" s="215">
        <v>1427</v>
      </c>
      <c r="D29" s="185">
        <v>15</v>
      </c>
      <c r="E29" s="185">
        <v>39</v>
      </c>
      <c r="F29" s="249">
        <v>173</v>
      </c>
      <c r="G29" s="188">
        <f t="shared" si="0"/>
        <v>8.249</v>
      </c>
      <c r="H29" s="250">
        <f t="shared" si="1"/>
        <v>21.4</v>
      </c>
      <c r="I29" s="191"/>
      <c r="J29" s="191"/>
    </row>
    <row r="30" spans="1:10" s="104" customFormat="1" ht="15.75">
      <c r="A30" s="193">
        <v>25</v>
      </c>
      <c r="B30" s="202" t="s">
        <v>22</v>
      </c>
      <c r="C30" s="215">
        <v>1807</v>
      </c>
      <c r="D30" s="185">
        <v>15</v>
      </c>
      <c r="E30" s="185">
        <v>40</v>
      </c>
      <c r="F30" s="249">
        <v>173</v>
      </c>
      <c r="G30" s="188">
        <f t="shared" si="0"/>
        <v>10.445</v>
      </c>
      <c r="H30" s="250">
        <f t="shared" si="1"/>
        <v>27.1</v>
      </c>
      <c r="I30" s="191"/>
      <c r="J30" s="191"/>
    </row>
    <row r="31" spans="1:10" s="104" customFormat="1" ht="15.75">
      <c r="A31" s="198">
        <v>26</v>
      </c>
      <c r="B31" s="202" t="s">
        <v>23</v>
      </c>
      <c r="C31" s="215">
        <v>785</v>
      </c>
      <c r="D31" s="185">
        <v>40</v>
      </c>
      <c r="E31" s="185">
        <v>110</v>
      </c>
      <c r="F31" s="249">
        <v>173</v>
      </c>
      <c r="G31" s="188">
        <f t="shared" si="0"/>
        <v>4.538</v>
      </c>
      <c r="H31" s="250">
        <f t="shared" si="1"/>
        <v>31.4</v>
      </c>
      <c r="I31" s="191"/>
      <c r="J31" s="191"/>
    </row>
    <row r="32" spans="1:10" s="104" customFormat="1" ht="19.5" customHeight="1">
      <c r="A32" s="193">
        <v>27</v>
      </c>
      <c r="B32" s="202" t="s">
        <v>24</v>
      </c>
      <c r="C32" s="215">
        <v>1840</v>
      </c>
      <c r="D32" s="185">
        <v>15</v>
      </c>
      <c r="E32" s="185">
        <v>102</v>
      </c>
      <c r="F32" s="249">
        <v>173</v>
      </c>
      <c r="G32" s="188">
        <f t="shared" si="0"/>
        <v>10.636</v>
      </c>
      <c r="H32" s="250">
        <f t="shared" si="1"/>
        <v>27.6</v>
      </c>
      <c r="I32" s="191"/>
      <c r="J32" s="191"/>
    </row>
    <row r="33" spans="1:10" s="104" customFormat="1" ht="18" customHeight="1">
      <c r="A33" s="198">
        <v>28</v>
      </c>
      <c r="B33" s="202" t="s">
        <v>25</v>
      </c>
      <c r="C33" s="215">
        <v>1920</v>
      </c>
      <c r="D33" s="185">
        <v>15</v>
      </c>
      <c r="E33" s="185">
        <v>53</v>
      </c>
      <c r="F33" s="249">
        <v>173</v>
      </c>
      <c r="G33" s="188">
        <f t="shared" si="0"/>
        <v>11.098</v>
      </c>
      <c r="H33" s="250">
        <f t="shared" si="1"/>
        <v>28.8</v>
      </c>
      <c r="I33" s="191"/>
      <c r="J33" s="191"/>
    </row>
    <row r="34" spans="1:10" s="126" customFormat="1" ht="18.75" customHeight="1">
      <c r="A34" s="193">
        <v>29</v>
      </c>
      <c r="B34" s="133" t="s">
        <v>26</v>
      </c>
      <c r="C34" s="229">
        <v>4193</v>
      </c>
      <c r="D34" s="207">
        <v>15</v>
      </c>
      <c r="E34" s="207">
        <v>86</v>
      </c>
      <c r="F34" s="249">
        <v>173</v>
      </c>
      <c r="G34" s="188">
        <f t="shared" si="0"/>
        <v>24.237</v>
      </c>
      <c r="H34" s="250">
        <f t="shared" si="1"/>
        <v>62.9</v>
      </c>
      <c r="I34" s="234"/>
      <c r="J34" s="191"/>
    </row>
    <row r="35" spans="1:10" s="205" customFormat="1" ht="18" customHeight="1">
      <c r="A35" s="198">
        <v>30</v>
      </c>
      <c r="B35" s="133" t="s">
        <v>27</v>
      </c>
      <c r="C35" s="229">
        <v>1400</v>
      </c>
      <c r="D35" s="185">
        <v>15</v>
      </c>
      <c r="E35" s="185">
        <v>43</v>
      </c>
      <c r="F35" s="249">
        <v>173</v>
      </c>
      <c r="G35" s="188">
        <f t="shared" si="0"/>
        <v>8.092</v>
      </c>
      <c r="H35" s="250">
        <f t="shared" si="1"/>
        <v>21</v>
      </c>
      <c r="I35" s="230"/>
      <c r="J35" s="191"/>
    </row>
    <row r="36" spans="1:10" s="104" customFormat="1" ht="15.75">
      <c r="A36" s="193">
        <v>31</v>
      </c>
      <c r="B36" s="202" t="s">
        <v>28</v>
      </c>
      <c r="C36" s="215">
        <v>596</v>
      </c>
      <c r="D36" s="185">
        <v>55</v>
      </c>
      <c r="E36" s="185">
        <v>108</v>
      </c>
      <c r="F36" s="249">
        <v>173</v>
      </c>
      <c r="G36" s="188">
        <f t="shared" si="0"/>
        <v>3.445</v>
      </c>
      <c r="H36" s="250">
        <f t="shared" si="1"/>
        <v>32.8</v>
      </c>
      <c r="I36" s="191"/>
      <c r="J36" s="191"/>
    </row>
    <row r="37" spans="1:10" s="104" customFormat="1" ht="15.75">
      <c r="A37" s="198">
        <v>32</v>
      </c>
      <c r="B37" s="202" t="s">
        <v>29</v>
      </c>
      <c r="C37" s="215">
        <v>615</v>
      </c>
      <c r="D37" s="185">
        <v>61</v>
      </c>
      <c r="E37" s="185">
        <v>70</v>
      </c>
      <c r="F37" s="249">
        <v>173</v>
      </c>
      <c r="G37" s="188">
        <f t="shared" si="0"/>
        <v>3.555</v>
      </c>
      <c r="H37" s="250">
        <f t="shared" si="1"/>
        <v>37.5</v>
      </c>
      <c r="I37" s="191"/>
      <c r="J37" s="191"/>
    </row>
    <row r="38" spans="1:10" s="104" customFormat="1" ht="15.75">
      <c r="A38" s="193">
        <v>33</v>
      </c>
      <c r="B38" s="202" t="s">
        <v>30</v>
      </c>
      <c r="C38" s="215">
        <v>793</v>
      </c>
      <c r="D38" s="185">
        <v>15</v>
      </c>
      <c r="E38" s="185">
        <v>40</v>
      </c>
      <c r="F38" s="249">
        <v>173</v>
      </c>
      <c r="G38" s="188">
        <f t="shared" si="0"/>
        <v>4.584</v>
      </c>
      <c r="H38" s="250">
        <f t="shared" si="1"/>
        <v>11.9</v>
      </c>
      <c r="I38" s="191"/>
      <c r="J38" s="191"/>
    </row>
    <row r="39" spans="1:10" s="104" customFormat="1" ht="15.75">
      <c r="A39" s="198">
        <v>34</v>
      </c>
      <c r="B39" s="202" t="s">
        <v>31</v>
      </c>
      <c r="C39" s="215">
        <v>2188</v>
      </c>
      <c r="D39" s="185">
        <v>17</v>
      </c>
      <c r="E39" s="185">
        <v>185</v>
      </c>
      <c r="F39" s="249">
        <v>173</v>
      </c>
      <c r="G39" s="188">
        <f t="shared" si="0"/>
        <v>12.647</v>
      </c>
      <c r="H39" s="250">
        <f t="shared" si="1"/>
        <v>37.2</v>
      </c>
      <c r="I39" s="191"/>
      <c r="J39" s="191"/>
    </row>
    <row r="40" spans="1:10" s="205" customFormat="1" ht="20.25" customHeight="1">
      <c r="A40" s="193">
        <v>35</v>
      </c>
      <c r="B40" s="133" t="s">
        <v>32</v>
      </c>
      <c r="C40" s="229">
        <v>2693</v>
      </c>
      <c r="D40" s="185">
        <v>15</v>
      </c>
      <c r="E40" s="185">
        <v>231</v>
      </c>
      <c r="F40" s="249">
        <v>173</v>
      </c>
      <c r="G40" s="188">
        <f t="shared" si="0"/>
        <v>15.566</v>
      </c>
      <c r="H40" s="250">
        <f t="shared" si="1"/>
        <v>40.4</v>
      </c>
      <c r="I40" s="230"/>
      <c r="J40" s="191"/>
    </row>
    <row r="41" spans="1:10" s="205" customFormat="1" ht="19.5" customHeight="1">
      <c r="A41" s="198">
        <v>36</v>
      </c>
      <c r="B41" s="133" t="s">
        <v>33</v>
      </c>
      <c r="C41" s="229">
        <v>263</v>
      </c>
      <c r="D41" s="185">
        <v>48</v>
      </c>
      <c r="E41" s="185">
        <v>180</v>
      </c>
      <c r="F41" s="249">
        <v>173</v>
      </c>
      <c r="G41" s="188">
        <f t="shared" si="0"/>
        <v>1.52</v>
      </c>
      <c r="H41" s="250">
        <f t="shared" si="1"/>
        <v>12.6</v>
      </c>
      <c r="I41" s="230"/>
      <c r="J41" s="191"/>
    </row>
    <row r="42" spans="1:10" s="205" customFormat="1" ht="21" customHeight="1">
      <c r="A42" s="193">
        <v>37</v>
      </c>
      <c r="B42" s="133" t="s">
        <v>34</v>
      </c>
      <c r="C42" s="229">
        <v>343</v>
      </c>
      <c r="D42" s="185">
        <v>30</v>
      </c>
      <c r="E42" s="185">
        <v>60</v>
      </c>
      <c r="F42" s="249">
        <v>173</v>
      </c>
      <c r="G42" s="188">
        <f t="shared" si="0"/>
        <v>1.983</v>
      </c>
      <c r="H42" s="250">
        <f t="shared" si="1"/>
        <v>10.3</v>
      </c>
      <c r="I42" s="230"/>
      <c r="J42" s="191"/>
    </row>
    <row r="43" spans="1:10" s="205" customFormat="1" ht="15.75">
      <c r="A43" s="198">
        <v>38</v>
      </c>
      <c r="B43" s="133" t="s">
        <v>35</v>
      </c>
      <c r="C43" s="229">
        <v>497</v>
      </c>
      <c r="D43" s="211">
        <v>35</v>
      </c>
      <c r="E43" s="211">
        <v>45</v>
      </c>
      <c r="F43" s="249">
        <v>173</v>
      </c>
      <c r="G43" s="188">
        <f t="shared" si="0"/>
        <v>2.873</v>
      </c>
      <c r="H43" s="250">
        <f t="shared" si="1"/>
        <v>17.4</v>
      </c>
      <c r="I43" s="230"/>
      <c r="J43" s="191"/>
    </row>
    <row r="44" spans="1:10" s="104" customFormat="1" ht="16.5" thickBot="1">
      <c r="A44" s="193">
        <v>39</v>
      </c>
      <c r="B44" s="214" t="s">
        <v>36</v>
      </c>
      <c r="C44" s="252">
        <v>803</v>
      </c>
      <c r="D44" s="231">
        <v>38</v>
      </c>
      <c r="E44" s="231">
        <v>59</v>
      </c>
      <c r="F44" s="249">
        <v>173</v>
      </c>
      <c r="G44" s="188">
        <v>4.65</v>
      </c>
      <c r="H44" s="250">
        <f>ROUND(D44*F44*G44/1000,1)-0.1</f>
        <v>30.5</v>
      </c>
      <c r="I44" s="191"/>
      <c r="J44" s="191"/>
    </row>
    <row r="45" spans="1:10" s="205" customFormat="1" ht="32.25" thickBot="1">
      <c r="A45" s="139"/>
      <c r="B45" s="140" t="s">
        <v>78</v>
      </c>
      <c r="C45" s="242"/>
      <c r="D45" s="143">
        <f>SUM(D6:D44)</f>
        <v>1394</v>
      </c>
      <c r="E45" s="143">
        <f>SUM(E6:E44)</f>
        <v>8413</v>
      </c>
      <c r="F45" s="218"/>
      <c r="G45" s="218"/>
      <c r="H45" s="253">
        <f>SUM(H6:H44)</f>
        <v>1124.2999999999997</v>
      </c>
      <c r="I45" s="253"/>
      <c r="J45" s="253"/>
    </row>
    <row r="46" spans="1:3" s="104" customFormat="1" ht="18" customHeight="1">
      <c r="A46" s="145"/>
      <c r="B46" s="146"/>
      <c r="C46" s="221"/>
    </row>
    <row r="47" spans="1:3" s="104" customFormat="1" ht="15.75">
      <c r="A47" s="150"/>
      <c r="B47" s="151"/>
      <c r="C47" s="151"/>
    </row>
    <row r="48" spans="1:3" s="104" customFormat="1" ht="15.75">
      <c r="A48" s="150"/>
      <c r="B48" s="151"/>
      <c r="C48" s="151"/>
    </row>
    <row r="49" spans="1:3" s="104" customFormat="1" ht="15.75">
      <c r="A49" s="150"/>
      <c r="B49" s="151"/>
      <c r="C49" s="151"/>
    </row>
    <row r="50" spans="1:3" s="104" customFormat="1" ht="15.75">
      <c r="A50" s="150"/>
      <c r="B50" s="151"/>
      <c r="C50" s="151"/>
    </row>
    <row r="51" spans="1:3" s="104" customFormat="1" ht="15.75">
      <c r="A51" s="150"/>
      <c r="B51" s="153"/>
      <c r="C51" s="153"/>
    </row>
    <row r="52" spans="1:3" s="104" customFormat="1" ht="15.75">
      <c r="A52" s="150"/>
      <c r="B52" s="153"/>
      <c r="C52" s="153"/>
    </row>
    <row r="53" spans="1:3" s="104" customFormat="1" ht="16.5" customHeight="1">
      <c r="A53" s="150"/>
      <c r="B53" s="151"/>
      <c r="C53" s="151"/>
    </row>
    <row r="54" spans="1:3" s="104" customFormat="1" ht="15.75">
      <c r="A54" s="150"/>
      <c r="B54" s="151"/>
      <c r="C54" s="151"/>
    </row>
    <row r="55" spans="1:3" s="104" customFormat="1" ht="15.75">
      <c r="A55" s="150"/>
      <c r="B55" s="151"/>
      <c r="C55" s="151"/>
    </row>
    <row r="56" spans="1:3" s="104" customFormat="1" ht="15.75">
      <c r="A56" s="150"/>
      <c r="B56" s="151"/>
      <c r="C56" s="151"/>
    </row>
    <row r="57" spans="1:3" s="104" customFormat="1" ht="15.75">
      <c r="A57" s="150"/>
      <c r="B57" s="151"/>
      <c r="C57" s="151"/>
    </row>
    <row r="58" spans="1:3" s="104" customFormat="1" ht="15.75">
      <c r="A58" s="150"/>
      <c r="B58" s="151"/>
      <c r="C58" s="151"/>
    </row>
    <row r="59" spans="1:3" s="104" customFormat="1" ht="15.75">
      <c r="A59" s="150"/>
      <c r="B59" s="154"/>
      <c r="C59" s="154"/>
    </row>
    <row r="60" spans="1:3" s="157" customFormat="1" ht="16.5" customHeight="1">
      <c r="A60" s="283"/>
      <c r="B60" s="283"/>
      <c r="C60" s="156"/>
    </row>
    <row r="61" spans="1:3" ht="15.75">
      <c r="A61" s="150"/>
      <c r="B61" s="153"/>
      <c r="C61" s="153"/>
    </row>
    <row r="62" spans="1:3" ht="15.75">
      <c r="A62" s="150"/>
      <c r="B62" s="153"/>
      <c r="C62" s="153"/>
    </row>
    <row r="63" spans="1:3" ht="15.75">
      <c r="A63" s="150"/>
      <c r="B63" s="153"/>
      <c r="C63" s="153"/>
    </row>
    <row r="64" spans="1:3" ht="15.75">
      <c r="A64" s="150"/>
      <c r="B64" s="153"/>
      <c r="C64" s="153"/>
    </row>
    <row r="65" spans="1:3" ht="18" customHeight="1">
      <c r="A65" s="150"/>
      <c r="B65" s="153"/>
      <c r="C65" s="153"/>
    </row>
    <row r="66" spans="1:3" ht="15.75">
      <c r="A66" s="150"/>
      <c r="B66" s="153"/>
      <c r="C66" s="153"/>
    </row>
    <row r="67" spans="1:3" ht="15.75">
      <c r="A67" s="150"/>
      <c r="B67" s="153"/>
      <c r="C67" s="153"/>
    </row>
    <row r="68" spans="1:3" ht="15.75">
      <c r="A68" s="150"/>
      <c r="B68" s="153"/>
      <c r="C68" s="153"/>
    </row>
    <row r="69" spans="1:3" ht="15.75">
      <c r="A69" s="150"/>
      <c r="B69" s="153"/>
      <c r="C69" s="153"/>
    </row>
    <row r="70" spans="1:3" ht="15.75">
      <c r="A70" s="150"/>
      <c r="B70" s="153"/>
      <c r="C70" s="153"/>
    </row>
    <row r="71" spans="1:3" ht="15.75">
      <c r="A71" s="150"/>
      <c r="B71" s="151"/>
      <c r="C71" s="151"/>
    </row>
    <row r="72" spans="1:3" ht="15.75">
      <c r="A72" s="150"/>
      <c r="B72" s="151"/>
      <c r="C72" s="151"/>
    </row>
    <row r="73" spans="1:3" ht="15.75">
      <c r="A73" s="150"/>
      <c r="B73" s="151"/>
      <c r="C73" s="151"/>
    </row>
    <row r="74" spans="1:3" ht="15.75">
      <c r="A74" s="150"/>
      <c r="B74" s="151"/>
      <c r="C74" s="151"/>
    </row>
    <row r="75" spans="1:3" ht="15.75">
      <c r="A75" s="150"/>
      <c r="B75" s="151"/>
      <c r="C75" s="151"/>
    </row>
    <row r="76" spans="1:3" ht="15.75">
      <c r="A76" s="150"/>
      <c r="B76" s="151"/>
      <c r="C76" s="151"/>
    </row>
    <row r="77" spans="1:3" ht="15.75">
      <c r="A77" s="150"/>
      <c r="B77" s="151"/>
      <c r="C77" s="151"/>
    </row>
    <row r="78" spans="1:3" ht="15.75">
      <c r="A78" s="150"/>
      <c r="B78" s="151"/>
      <c r="C78" s="151"/>
    </row>
    <row r="79" spans="1:3" ht="15.75">
      <c r="A79" s="150"/>
      <c r="B79" s="151"/>
      <c r="C79" s="151"/>
    </row>
    <row r="80" spans="1:3" ht="15.75">
      <c r="A80" s="150"/>
      <c r="B80" s="151"/>
      <c r="C80" s="151"/>
    </row>
    <row r="81" spans="1:3" ht="15.75">
      <c r="A81" s="150"/>
      <c r="B81" s="151"/>
      <c r="C81" s="151"/>
    </row>
    <row r="82" spans="1:3" ht="15.75">
      <c r="A82" s="150"/>
      <c r="B82" s="151"/>
      <c r="C82" s="151"/>
    </row>
    <row r="83" spans="1:3" ht="15.75">
      <c r="A83" s="150"/>
      <c r="B83" s="151"/>
      <c r="C83" s="151"/>
    </row>
    <row r="84" spans="1:3" ht="15.75">
      <c r="A84" s="150"/>
      <c r="B84" s="151"/>
      <c r="C84" s="151"/>
    </row>
    <row r="85" spans="1:3" ht="15.75">
      <c r="A85" s="150"/>
      <c r="B85" s="151"/>
      <c r="C85" s="151"/>
    </row>
    <row r="86" spans="1:3" ht="15.75">
      <c r="A86" s="150"/>
      <c r="B86" s="151"/>
      <c r="C86" s="151"/>
    </row>
    <row r="87" spans="1:3" ht="15.75">
      <c r="A87" s="150"/>
      <c r="B87" s="151"/>
      <c r="C87" s="151"/>
    </row>
    <row r="88" spans="1:3" ht="15.75">
      <c r="A88" s="150"/>
      <c r="B88" s="151"/>
      <c r="C88" s="151"/>
    </row>
    <row r="89" spans="1:3" ht="15.75">
      <c r="A89" s="150"/>
      <c r="B89" s="151"/>
      <c r="C89" s="151"/>
    </row>
    <row r="90" spans="1:3" ht="15.75">
      <c r="A90" s="150"/>
      <c r="B90" s="151"/>
      <c r="C90" s="151"/>
    </row>
    <row r="91" spans="1:3" ht="15.75">
      <c r="A91" s="150"/>
      <c r="B91" s="151"/>
      <c r="C91" s="151"/>
    </row>
    <row r="92" spans="1:3" ht="15.75">
      <c r="A92" s="150"/>
      <c r="B92" s="151"/>
      <c r="C92" s="151"/>
    </row>
    <row r="93" spans="1:3" ht="15.75">
      <c r="A93" s="150"/>
      <c r="B93" s="151"/>
      <c r="C93" s="151"/>
    </row>
    <row r="94" spans="1:3" ht="15.75">
      <c r="A94" s="150"/>
      <c r="B94" s="151"/>
      <c r="C94" s="151"/>
    </row>
    <row r="95" spans="1:3" ht="15.75">
      <c r="A95" s="150"/>
      <c r="B95" s="151"/>
      <c r="C95" s="151"/>
    </row>
    <row r="96" spans="1:3" ht="15.75">
      <c r="A96" s="150"/>
      <c r="B96" s="151"/>
      <c r="C96" s="151"/>
    </row>
    <row r="97" spans="1:3" ht="15.75">
      <c r="A97" s="150"/>
      <c r="B97" s="151"/>
      <c r="C97" s="151"/>
    </row>
    <row r="98" spans="1:3" ht="15.75">
      <c r="A98" s="150"/>
      <c r="B98" s="151"/>
      <c r="C98" s="151"/>
    </row>
    <row r="99" spans="1:3" ht="15.75">
      <c r="A99" s="150"/>
      <c r="B99" s="151"/>
      <c r="C99" s="151"/>
    </row>
    <row r="100" spans="1:3" ht="15.75">
      <c r="A100" s="150"/>
      <c r="B100" s="151"/>
      <c r="C100" s="151"/>
    </row>
    <row r="101" spans="1:3" ht="15.75">
      <c r="A101" s="150"/>
      <c r="B101" s="151"/>
      <c r="C101" s="151"/>
    </row>
    <row r="102" spans="1:3" ht="15.75">
      <c r="A102" s="150"/>
      <c r="B102" s="151"/>
      <c r="C102" s="151"/>
    </row>
    <row r="103" spans="1:3" ht="15.75">
      <c r="A103" s="150"/>
      <c r="B103" s="151"/>
      <c r="C103" s="151"/>
    </row>
    <row r="104" spans="1:3" ht="15.75">
      <c r="A104" s="150"/>
      <c r="B104" s="151"/>
      <c r="C104" s="151"/>
    </row>
    <row r="105" spans="1:3" ht="15.75">
      <c r="A105" s="161"/>
      <c r="B105" s="162"/>
      <c r="C105" s="162"/>
    </row>
    <row r="106" spans="1:3" ht="18.75">
      <c r="A106" s="163"/>
      <c r="B106" s="163"/>
      <c r="C106" s="163"/>
    </row>
    <row r="107" spans="1:3" ht="12.75">
      <c r="A107" s="161"/>
      <c r="B107" s="161"/>
      <c r="C107" s="161"/>
    </row>
  </sheetData>
  <sheetProtection/>
  <mergeCells count="12">
    <mergeCell ref="I3:I5"/>
    <mergeCell ref="J3:J5"/>
    <mergeCell ref="C3:C5"/>
    <mergeCell ref="G3:G5"/>
    <mergeCell ref="H3:H5"/>
    <mergeCell ref="B3:B5"/>
    <mergeCell ref="A60:B60"/>
    <mergeCell ref="A1:B1"/>
    <mergeCell ref="A3:A4"/>
    <mergeCell ref="D3:E3"/>
    <mergeCell ref="D4:E4"/>
    <mergeCell ref="F3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71" zoomScaleNormal="74" zoomScaleSheetLayoutView="71" zoomScalePageLayoutView="0" workbookViewId="0" topLeftCell="B1">
      <selection activeCell="D22" sqref="D2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9.421875" style="65" customWidth="1"/>
    <col min="4" max="5" width="29.00390625" style="18" customWidth="1"/>
    <col min="6" max="6" width="21.421875" style="54" customWidth="1"/>
    <col min="7" max="7" width="14.140625" style="54" customWidth="1"/>
    <col min="8" max="8" width="15.7109375" style="54" customWidth="1"/>
    <col min="9" max="9" width="9.140625" style="54" customWidth="1"/>
    <col min="10" max="10" width="17.8515625" style="90" customWidth="1"/>
    <col min="11" max="11" width="24.57421875" style="91" customWidth="1"/>
    <col min="12" max="12" width="16.57421875" style="91" customWidth="1"/>
    <col min="13" max="13" width="14.7109375" style="18" customWidth="1"/>
    <col min="14" max="16384" width="9.140625" style="18" customWidth="1"/>
  </cols>
  <sheetData>
    <row r="1" spans="1:12" s="5" customFormat="1" ht="18.75">
      <c r="A1" s="298"/>
      <c r="B1" s="298"/>
      <c r="C1" s="62"/>
      <c r="F1" s="52"/>
      <c r="G1" s="52"/>
      <c r="H1" s="52"/>
      <c r="I1" s="52"/>
      <c r="J1" s="79"/>
      <c r="K1" s="75"/>
      <c r="L1" s="75"/>
    </row>
    <row r="2" spans="1:12" s="5" customFormat="1" ht="15.75">
      <c r="A2" s="1"/>
      <c r="B2" s="1"/>
      <c r="C2" s="62"/>
      <c r="F2" s="52"/>
      <c r="G2" s="52"/>
      <c r="H2" s="52"/>
      <c r="I2" s="52"/>
      <c r="J2" s="79"/>
      <c r="K2" s="75"/>
      <c r="L2" s="75"/>
    </row>
    <row r="3" spans="1:12" s="5" customFormat="1" ht="51.75" customHeight="1">
      <c r="A3" s="74"/>
      <c r="B3" s="74"/>
      <c r="C3" s="75"/>
      <c r="D3" s="52"/>
      <c r="E3" s="52"/>
      <c r="F3" s="52"/>
      <c r="G3" s="52"/>
      <c r="H3" s="52"/>
      <c r="I3" s="52"/>
      <c r="J3" s="79"/>
      <c r="K3" s="75"/>
      <c r="L3" s="75"/>
    </row>
    <row r="4" spans="1:12" s="5" customFormat="1" ht="64.5" customHeight="1">
      <c r="A4" s="61" t="s">
        <v>38</v>
      </c>
      <c r="B4" s="61" t="s">
        <v>39</v>
      </c>
      <c r="C4" s="99" t="s">
        <v>72</v>
      </c>
      <c r="D4" s="78" t="s">
        <v>93</v>
      </c>
      <c r="E4" s="102" t="s">
        <v>94</v>
      </c>
      <c r="F4" s="100"/>
      <c r="G4" s="52"/>
      <c r="H4" s="52"/>
      <c r="I4" s="52"/>
      <c r="J4" s="101"/>
      <c r="K4" s="80"/>
      <c r="L4" s="80"/>
    </row>
    <row r="5" spans="1:12" s="5" customFormat="1" ht="15.75">
      <c r="A5" s="23">
        <v>1</v>
      </c>
      <c r="B5" s="76" t="s">
        <v>0</v>
      </c>
      <c r="C5" s="77">
        <f>'Школы-началка'!W8+'Школы-основная'!Y8+'Школы-средняя'!U8+Допобразование!L7+Коррекция!G7+ППК!G6+Работы!H6</f>
        <v>2608.6</v>
      </c>
      <c r="D5" s="48">
        <v>2603</v>
      </c>
      <c r="E5" s="48">
        <f>D5-C5</f>
        <v>-5.599999999999909</v>
      </c>
      <c r="F5" s="81"/>
      <c r="G5" s="82"/>
      <c r="H5" s="82"/>
      <c r="I5" s="83"/>
      <c r="J5" s="84"/>
      <c r="K5" s="85"/>
      <c r="L5" s="85"/>
    </row>
    <row r="6" spans="1:12" s="5" customFormat="1" ht="15.75">
      <c r="A6" s="25">
        <v>2</v>
      </c>
      <c r="B6" s="24" t="s">
        <v>62</v>
      </c>
      <c r="C6" s="66">
        <f>'Школы-началка'!W9+'Школы-основная'!Y9+'Школы-средняя'!U9+Допобразование!L8+Коррекция!G8+ППК!G7+Работы!H7</f>
        <v>4121.5</v>
      </c>
      <c r="D6" s="48">
        <v>4120.1</v>
      </c>
      <c r="E6" s="48">
        <f aca="true" t="shared" si="0" ref="E6:E43">D6-C6</f>
        <v>-1.3999999999996362</v>
      </c>
      <c r="F6" s="86"/>
      <c r="G6" s="82"/>
      <c r="H6" s="82"/>
      <c r="I6" s="83"/>
      <c r="J6" s="84"/>
      <c r="K6" s="85"/>
      <c r="L6" s="85"/>
    </row>
    <row r="7" spans="1:12" s="5" customFormat="1" ht="15.75">
      <c r="A7" s="25">
        <v>3</v>
      </c>
      <c r="B7" s="24" t="s">
        <v>1</v>
      </c>
      <c r="C7" s="66">
        <f>'Школы-началка'!W10+'Школы-основная'!Y10+'Школы-средняя'!U10+Допобразование!L9+Коррекция!G9+ППК!G8+Работы!H8</f>
        <v>2426.5000000000005</v>
      </c>
      <c r="D7" s="48">
        <v>2418.1</v>
      </c>
      <c r="E7" s="48">
        <f t="shared" si="0"/>
        <v>-8.400000000000546</v>
      </c>
      <c r="F7" s="81"/>
      <c r="G7" s="82"/>
      <c r="H7" s="82"/>
      <c r="I7" s="83"/>
      <c r="J7" s="84"/>
      <c r="K7" s="85"/>
      <c r="L7" s="85"/>
    </row>
    <row r="8" spans="1:12" s="5" customFormat="1" ht="15.75">
      <c r="A8" s="25">
        <v>4</v>
      </c>
      <c r="B8" s="24" t="s">
        <v>2</v>
      </c>
      <c r="C8" s="66">
        <f>'Школы-началка'!W11+'Школы-основная'!Y11+'Школы-средняя'!U11+Допобразование!L10+Коррекция!G10+ППК!G9+Работы!H9</f>
        <v>3305.0999999999995</v>
      </c>
      <c r="D8" s="48">
        <v>3302.3</v>
      </c>
      <c r="E8" s="48">
        <f t="shared" si="0"/>
        <v>-2.7999999999992724</v>
      </c>
      <c r="F8" s="81"/>
      <c r="G8" s="82"/>
      <c r="H8" s="82"/>
      <c r="I8" s="83"/>
      <c r="J8" s="84"/>
      <c r="K8" s="85"/>
      <c r="L8" s="85"/>
    </row>
    <row r="9" spans="1:12" s="5" customFormat="1" ht="15.75">
      <c r="A9" s="25">
        <v>5</v>
      </c>
      <c r="B9" s="24" t="s">
        <v>61</v>
      </c>
      <c r="C9" s="66">
        <f>'Школы-началка'!W12+'Школы-основная'!Y12+'Школы-средняя'!U12+Допобразование!L11+Коррекция!G11+ППК!G10+Работы!H10</f>
        <v>519.7</v>
      </c>
      <c r="D9" s="48">
        <v>2762.7</v>
      </c>
      <c r="E9" s="48">
        <f t="shared" si="0"/>
        <v>2243</v>
      </c>
      <c r="F9" s="81"/>
      <c r="G9" s="82"/>
      <c r="H9" s="82"/>
      <c r="I9" s="83"/>
      <c r="J9" s="84"/>
      <c r="K9" s="85"/>
      <c r="L9" s="85"/>
    </row>
    <row r="10" spans="1:12" s="5" customFormat="1" ht="15.75">
      <c r="A10" s="25">
        <v>6</v>
      </c>
      <c r="B10" s="24" t="s">
        <v>3</v>
      </c>
      <c r="C10" s="66">
        <f>'Школы-началка'!W13+'Школы-основная'!Y13+'Школы-средняя'!U13+Допобразование!L12+Коррекция!G12+ППК!G11+Работы!H11</f>
        <v>2944.9000000000005</v>
      </c>
      <c r="D10" s="48">
        <v>2939.3</v>
      </c>
      <c r="E10" s="48">
        <f t="shared" si="0"/>
        <v>-5.600000000000364</v>
      </c>
      <c r="F10" s="86"/>
      <c r="G10" s="82"/>
      <c r="H10" s="82"/>
      <c r="I10" s="83"/>
      <c r="J10" s="84"/>
      <c r="K10" s="85"/>
      <c r="L10" s="85"/>
    </row>
    <row r="11" spans="1:12" s="5" customFormat="1" ht="15.75" customHeight="1">
      <c r="A11" s="25">
        <v>7</v>
      </c>
      <c r="B11" s="24" t="s">
        <v>4</v>
      </c>
      <c r="C11" s="66">
        <f>'Школы-началка'!W14+'Школы-основная'!Y14+'Школы-средняя'!U14+Допобразование!L13+Коррекция!G13+ППК!G12+Работы!H12</f>
        <v>3271.499999999999</v>
      </c>
      <c r="D11" s="48">
        <v>3263.1</v>
      </c>
      <c r="E11" s="48">
        <f t="shared" si="0"/>
        <v>-8.399999999999181</v>
      </c>
      <c r="F11" s="86"/>
      <c r="G11" s="82"/>
      <c r="H11" s="82"/>
      <c r="I11" s="83"/>
      <c r="J11" s="84"/>
      <c r="K11" s="85"/>
      <c r="L11" s="85"/>
    </row>
    <row r="12" spans="1:12" s="28" customFormat="1" ht="15.75">
      <c r="A12" s="26">
        <v>8</v>
      </c>
      <c r="B12" s="27" t="s">
        <v>5</v>
      </c>
      <c r="C12" s="66">
        <f>'Школы-началка'!W15+'Школы-основная'!Y15+'Школы-средняя'!U15+Допобразование!L14+Коррекция!G14+ППК!G13+Работы!H13</f>
        <v>4202.8</v>
      </c>
      <c r="D12" s="48">
        <v>4197.2</v>
      </c>
      <c r="E12" s="48">
        <f t="shared" si="0"/>
        <v>-5.600000000000364</v>
      </c>
      <c r="F12" s="81"/>
      <c r="G12" s="82"/>
      <c r="H12" s="82"/>
      <c r="I12" s="83"/>
      <c r="J12" s="84"/>
      <c r="K12" s="85"/>
      <c r="L12" s="85"/>
    </row>
    <row r="13" spans="1:12" s="5" customFormat="1" ht="15.75">
      <c r="A13" s="25">
        <v>9</v>
      </c>
      <c r="B13" s="24" t="s">
        <v>6</v>
      </c>
      <c r="C13" s="66">
        <f>'Школы-началка'!W16+'Школы-основная'!Y16+'Школы-средняя'!U16+Допобразование!L15+Коррекция!G15+ППК!G14+Работы!H14</f>
        <v>1163.1999999999998</v>
      </c>
      <c r="D13" s="48">
        <v>1156.2</v>
      </c>
      <c r="E13" s="48">
        <f t="shared" si="0"/>
        <v>-6.999999999999773</v>
      </c>
      <c r="F13" s="81"/>
      <c r="G13" s="82"/>
      <c r="H13" s="82"/>
      <c r="I13" s="83"/>
      <c r="J13" s="84"/>
      <c r="K13" s="85"/>
      <c r="L13" s="85"/>
    </row>
    <row r="14" spans="1:12" s="5" customFormat="1" ht="15.75">
      <c r="A14" s="26">
        <v>10</v>
      </c>
      <c r="B14" s="29" t="s">
        <v>7</v>
      </c>
      <c r="C14" s="66">
        <f>'Школы-началка'!W17+'Школы-основная'!Y17+'Школы-средняя'!U17+Допобразование!L16+Коррекция!G16+ППК!G15+Работы!H15</f>
        <v>3374.5999999999995</v>
      </c>
      <c r="D14" s="48">
        <v>3367.6</v>
      </c>
      <c r="E14" s="48">
        <f t="shared" si="0"/>
        <v>-6.999999999999545</v>
      </c>
      <c r="F14" s="81"/>
      <c r="G14" s="82"/>
      <c r="H14" s="82"/>
      <c r="I14" s="83"/>
      <c r="J14" s="84"/>
      <c r="K14" s="85"/>
      <c r="L14" s="85"/>
    </row>
    <row r="15" spans="1:12" s="5" customFormat="1" ht="15.75">
      <c r="A15" s="25">
        <v>11</v>
      </c>
      <c r="B15" s="29" t="s">
        <v>8</v>
      </c>
      <c r="C15" s="66">
        <f>'Школы-началка'!W18+'Школы-основная'!Y18+'Школы-средняя'!U18+Допобразование!L17+Коррекция!G17+ППК!G16+Работы!H16</f>
        <v>2807.8999999999996</v>
      </c>
      <c r="D15" s="48">
        <v>2802.3</v>
      </c>
      <c r="E15" s="48">
        <f t="shared" si="0"/>
        <v>-5.599999999999454</v>
      </c>
      <c r="F15" s="86"/>
      <c r="G15" s="82"/>
      <c r="H15" s="82"/>
      <c r="I15" s="83"/>
      <c r="J15" s="84"/>
      <c r="K15" s="85"/>
      <c r="L15" s="85"/>
    </row>
    <row r="16" spans="1:12" s="5" customFormat="1" ht="15.75">
      <c r="A16" s="26">
        <v>12</v>
      </c>
      <c r="B16" s="29" t="s">
        <v>9</v>
      </c>
      <c r="C16" s="66">
        <f>'Школы-началка'!W19+'Школы-основная'!Y19+'Школы-средняя'!U19+Допобразование!L18+Коррекция!G18+ППК!G17+Работы!H17</f>
        <v>3320.099999999999</v>
      </c>
      <c r="D16" s="48">
        <v>3311.7</v>
      </c>
      <c r="E16" s="48">
        <f t="shared" si="0"/>
        <v>-8.399999999999181</v>
      </c>
      <c r="F16" s="81"/>
      <c r="G16" s="82"/>
      <c r="H16" s="82"/>
      <c r="I16" s="83"/>
      <c r="J16" s="84"/>
      <c r="K16" s="85"/>
      <c r="L16" s="85"/>
    </row>
    <row r="17" spans="1:12" s="5" customFormat="1" ht="15.75">
      <c r="A17" s="25">
        <v>13</v>
      </c>
      <c r="B17" s="29" t="s">
        <v>10</v>
      </c>
      <c r="C17" s="66">
        <f>'Школы-началка'!W20+'Школы-основная'!Y20+'Школы-средняя'!U20+Допобразование!L19+Коррекция!G19+ППК!G18+Работы!H18</f>
        <v>4272.999999999999</v>
      </c>
      <c r="D17" s="48">
        <v>4267.4</v>
      </c>
      <c r="E17" s="48">
        <f t="shared" si="0"/>
        <v>-5.599999999999454</v>
      </c>
      <c r="F17" s="81"/>
      <c r="G17" s="82"/>
      <c r="H17" s="82"/>
      <c r="I17" s="83"/>
      <c r="J17" s="84"/>
      <c r="K17" s="85"/>
      <c r="L17" s="85"/>
    </row>
    <row r="18" spans="1:12" s="5" customFormat="1" ht="19.5" customHeight="1">
      <c r="A18" s="26">
        <v>14</v>
      </c>
      <c r="B18" s="29" t="s">
        <v>11</v>
      </c>
      <c r="C18" s="66">
        <f>'Школы-началка'!W21+'Школы-основная'!Y21+'Школы-средняя'!U21+Допобразование!L20+Коррекция!G20+ППК!G19+Работы!H19</f>
        <v>1850.9999999999995</v>
      </c>
      <c r="D18" s="48">
        <v>1845.4</v>
      </c>
      <c r="E18" s="48">
        <f t="shared" si="0"/>
        <v>-5.599999999999454</v>
      </c>
      <c r="F18" s="81"/>
      <c r="G18" s="82"/>
      <c r="H18" s="82"/>
      <c r="I18" s="83"/>
      <c r="J18" s="84"/>
      <c r="K18" s="85"/>
      <c r="L18" s="85"/>
    </row>
    <row r="19" spans="1:12" s="5" customFormat="1" ht="15.75">
      <c r="A19" s="25">
        <v>15</v>
      </c>
      <c r="B19" s="29" t="s">
        <v>12</v>
      </c>
      <c r="C19" s="66">
        <f>'Школы-началка'!W22+'Школы-основная'!Y22+'Школы-средняя'!U22+Допобразование!L21+Коррекция!G21+ППК!G20+Работы!H20</f>
        <v>4550.9</v>
      </c>
      <c r="D19" s="48">
        <v>4545.3</v>
      </c>
      <c r="E19" s="48">
        <f t="shared" si="0"/>
        <v>-5.599999999999454</v>
      </c>
      <c r="F19" s="81"/>
      <c r="G19" s="82"/>
      <c r="H19" s="82"/>
      <c r="I19" s="83"/>
      <c r="J19" s="84"/>
      <c r="K19" s="85"/>
      <c r="L19" s="85"/>
    </row>
    <row r="20" spans="1:12" s="33" customFormat="1" ht="15.75" customHeight="1">
      <c r="A20" s="26">
        <v>16</v>
      </c>
      <c r="B20" s="31" t="s">
        <v>13</v>
      </c>
      <c r="C20" s="66">
        <f>'Школы-началка'!W23+'Школы-основная'!Y23+'Школы-средняя'!U23+Допобразование!L22+Коррекция!G22+ППК!G21+Работы!H21</f>
        <v>3536.2</v>
      </c>
      <c r="D20" s="48">
        <v>3530.6</v>
      </c>
      <c r="E20" s="48">
        <f t="shared" si="0"/>
        <v>-5.599999999999909</v>
      </c>
      <c r="F20" s="81"/>
      <c r="G20" s="82"/>
      <c r="H20" s="82"/>
      <c r="I20" s="83"/>
      <c r="J20" s="84"/>
      <c r="K20" s="85"/>
      <c r="L20" s="85"/>
    </row>
    <row r="21" spans="1:12" s="35" customFormat="1" ht="19.5" customHeight="1">
      <c r="A21" s="25">
        <v>17</v>
      </c>
      <c r="B21" s="31" t="s">
        <v>14</v>
      </c>
      <c r="C21" s="66">
        <f>'Школы-началка'!W24+'Школы-основная'!Y24+'Школы-средняя'!U24+Допобразование!L23+Коррекция!G23+ППК!G22+Работы!H22</f>
        <v>1530.8999999999999</v>
      </c>
      <c r="D21" s="48">
        <v>1525.3</v>
      </c>
      <c r="E21" s="48">
        <f t="shared" si="0"/>
        <v>-5.599999999999909</v>
      </c>
      <c r="F21" s="81"/>
      <c r="G21" s="82"/>
      <c r="H21" s="82"/>
      <c r="I21" s="83"/>
      <c r="J21" s="84"/>
      <c r="K21" s="87"/>
      <c r="L21" s="85"/>
    </row>
    <row r="22" spans="1:12" s="5" customFormat="1" ht="15.75">
      <c r="A22" s="26">
        <v>18</v>
      </c>
      <c r="B22" s="29" t="s">
        <v>15</v>
      </c>
      <c r="C22" s="66">
        <f>'Школы-началка'!W25+'Школы-основная'!Y25+'Школы-средняя'!U25+Допобразование!L24+Коррекция!G24+ППК!G23+Работы!H23</f>
        <v>1373</v>
      </c>
      <c r="D22" s="48">
        <v>1367.4</v>
      </c>
      <c r="E22" s="48">
        <f t="shared" si="0"/>
        <v>-5.599999999999909</v>
      </c>
      <c r="F22" s="81"/>
      <c r="G22" s="82"/>
      <c r="H22" s="82"/>
      <c r="I22" s="83"/>
      <c r="J22" s="84"/>
      <c r="K22" s="85"/>
      <c r="L22" s="85"/>
    </row>
    <row r="23" spans="1:12" s="33" customFormat="1" ht="21" customHeight="1">
      <c r="A23" s="25">
        <v>19</v>
      </c>
      <c r="B23" s="31" t="s">
        <v>16</v>
      </c>
      <c r="C23" s="66">
        <f>'Школы-началка'!W26+'Школы-основная'!Y26+'Школы-средняя'!U26+Допобразование!L25+Коррекция!G25+ППК!G24+Работы!H24</f>
        <v>3540.2000000000003</v>
      </c>
      <c r="D23" s="48">
        <v>3534.6</v>
      </c>
      <c r="E23" s="48">
        <f t="shared" si="0"/>
        <v>-5.600000000000364</v>
      </c>
      <c r="F23" s="86"/>
      <c r="G23" s="82"/>
      <c r="H23" s="82"/>
      <c r="I23" s="83"/>
      <c r="J23" s="84"/>
      <c r="K23" s="85"/>
      <c r="L23" s="85"/>
    </row>
    <row r="24" spans="1:12" s="5" customFormat="1" ht="15.75">
      <c r="A24" s="26">
        <v>20</v>
      </c>
      <c r="B24" s="29" t="s">
        <v>17</v>
      </c>
      <c r="C24" s="66">
        <f>'Школы-началка'!W27+'Школы-основная'!Y27+'Школы-средняя'!U27+Допобразование!L26+Коррекция!G26+ППК!G25+Работы!H25</f>
        <v>3243.6000000000004</v>
      </c>
      <c r="D24" s="48">
        <v>3238</v>
      </c>
      <c r="E24" s="48">
        <f t="shared" si="0"/>
        <v>-5.600000000000364</v>
      </c>
      <c r="F24" s="86"/>
      <c r="G24" s="82"/>
      <c r="H24" s="82"/>
      <c r="I24" s="83"/>
      <c r="J24" s="84"/>
      <c r="K24" s="85"/>
      <c r="L24" s="85"/>
    </row>
    <row r="25" spans="1:12" s="5" customFormat="1" ht="15.75">
      <c r="A25" s="25">
        <v>21</v>
      </c>
      <c r="B25" s="29" t="s">
        <v>18</v>
      </c>
      <c r="C25" s="66">
        <f>'Школы-началка'!W28+'Школы-основная'!Y28+'Школы-средняя'!U28+Допобразование!L27+Коррекция!G27+ППК!G26+Работы!H26</f>
        <v>2190.1000000000004</v>
      </c>
      <c r="D25" s="48">
        <v>2185.9</v>
      </c>
      <c r="E25" s="48">
        <f t="shared" si="0"/>
        <v>-4.200000000000273</v>
      </c>
      <c r="F25" s="81"/>
      <c r="G25" s="82"/>
      <c r="H25" s="82"/>
      <c r="I25" s="83"/>
      <c r="J25" s="84"/>
      <c r="K25" s="85"/>
      <c r="L25" s="85"/>
    </row>
    <row r="26" spans="1:12" s="35" customFormat="1" ht="15" customHeight="1">
      <c r="A26" s="26">
        <v>22</v>
      </c>
      <c r="B26" s="31" t="s">
        <v>19</v>
      </c>
      <c r="C26" s="66">
        <f>'Школы-началка'!W29+'Школы-основная'!Y29+'Школы-средняя'!U29+Допобразование!L28+Коррекция!G28+ППК!G27+Работы!H27</f>
        <v>3537.4000000000005</v>
      </c>
      <c r="D26" s="48">
        <v>3530.4</v>
      </c>
      <c r="E26" s="48">
        <f t="shared" si="0"/>
        <v>-7.000000000000455</v>
      </c>
      <c r="F26" s="81"/>
      <c r="G26" s="82"/>
      <c r="H26" s="82"/>
      <c r="I26" s="83"/>
      <c r="J26" s="84"/>
      <c r="K26" s="87"/>
      <c r="L26" s="85"/>
    </row>
    <row r="27" spans="1:12" s="33" customFormat="1" ht="18.75" customHeight="1">
      <c r="A27" s="25">
        <v>23</v>
      </c>
      <c r="B27" s="31" t="s">
        <v>20</v>
      </c>
      <c r="C27" s="66">
        <f>'Школы-началка'!W30+'Школы-основная'!Y30+'Школы-средняя'!U30+Допобразование!L29+Коррекция!G29+ППК!G28+Работы!H28</f>
        <v>2025.1999999999998</v>
      </c>
      <c r="D27" s="48">
        <v>2019.6</v>
      </c>
      <c r="E27" s="48">
        <f t="shared" si="0"/>
        <v>-5.599999999999909</v>
      </c>
      <c r="F27" s="81"/>
      <c r="G27" s="82"/>
      <c r="H27" s="82"/>
      <c r="I27" s="83"/>
      <c r="J27" s="84"/>
      <c r="K27" s="85"/>
      <c r="L27" s="85"/>
    </row>
    <row r="28" spans="1:12" s="5" customFormat="1" ht="15.75">
      <c r="A28" s="26">
        <v>24</v>
      </c>
      <c r="B28" s="29" t="s">
        <v>21</v>
      </c>
      <c r="C28" s="66">
        <f>'Школы-началка'!W31+'Школы-основная'!Y31+'Школы-средняя'!U31+Допобразование!L30+Коррекция!G30+ППК!G29+Работы!H29</f>
        <v>2137.8</v>
      </c>
      <c r="D28" s="48">
        <v>2132.2</v>
      </c>
      <c r="E28" s="48">
        <f t="shared" si="0"/>
        <v>-5.600000000000364</v>
      </c>
      <c r="F28" s="81"/>
      <c r="G28" s="82"/>
      <c r="H28" s="82"/>
      <c r="I28" s="83"/>
      <c r="J28" s="84"/>
      <c r="K28" s="85"/>
      <c r="L28" s="85"/>
    </row>
    <row r="29" spans="1:12" s="5" customFormat="1" ht="15.75">
      <c r="A29" s="25">
        <v>25</v>
      </c>
      <c r="B29" s="29" t="s">
        <v>22</v>
      </c>
      <c r="C29" s="66">
        <f>'Школы-началка'!W32+'Школы-основная'!Y32+'Школы-средняя'!U32+Допобразование!L31+Коррекция!G31+ППК!G30+Работы!H30</f>
        <v>2712.7</v>
      </c>
      <c r="D29" s="48">
        <v>2705.7</v>
      </c>
      <c r="E29" s="48">
        <f t="shared" si="0"/>
        <v>-7</v>
      </c>
      <c r="F29" s="81"/>
      <c r="G29" s="82"/>
      <c r="H29" s="82"/>
      <c r="I29" s="83"/>
      <c r="J29" s="84"/>
      <c r="K29" s="85"/>
      <c r="L29" s="85"/>
    </row>
    <row r="30" spans="1:12" s="5" customFormat="1" ht="15.75">
      <c r="A30" s="26">
        <v>26</v>
      </c>
      <c r="B30" s="29" t="s">
        <v>23</v>
      </c>
      <c r="C30" s="66">
        <f>'Школы-началка'!W33+'Школы-основная'!Y33+'Школы-средняя'!U33+Допобразование!L32+Коррекция!G32+ППК!G31+Работы!H31</f>
        <v>3136.4000000000005</v>
      </c>
      <c r="D30" s="48">
        <v>3128</v>
      </c>
      <c r="E30" s="48">
        <f t="shared" si="0"/>
        <v>-8.400000000000546</v>
      </c>
      <c r="F30" s="81"/>
      <c r="G30" s="82"/>
      <c r="H30" s="82"/>
      <c r="I30" s="83"/>
      <c r="J30" s="84"/>
      <c r="K30" s="85"/>
      <c r="L30" s="85"/>
    </row>
    <row r="31" spans="1:12" s="5" customFormat="1" ht="19.5" customHeight="1">
      <c r="A31" s="25">
        <v>27</v>
      </c>
      <c r="B31" s="29" t="s">
        <v>24</v>
      </c>
      <c r="C31" s="66">
        <f>'Школы-началка'!W34+'Школы-основная'!Y34+'Школы-средняя'!U34+Допобразование!L33+Коррекция!G33+ППК!G32+Работы!H32</f>
        <v>2759.5999999999995</v>
      </c>
      <c r="D31" s="48">
        <v>2754</v>
      </c>
      <c r="E31" s="48">
        <f t="shared" si="0"/>
        <v>-5.599999999999454</v>
      </c>
      <c r="F31" s="81"/>
      <c r="G31" s="82"/>
      <c r="H31" s="82"/>
      <c r="I31" s="83"/>
      <c r="J31" s="84"/>
      <c r="K31" s="85"/>
      <c r="L31" s="85"/>
    </row>
    <row r="32" spans="1:12" s="5" customFormat="1" ht="18" customHeight="1">
      <c r="A32" s="26">
        <v>28</v>
      </c>
      <c r="B32" s="29" t="s">
        <v>25</v>
      </c>
      <c r="C32" s="66">
        <f>'Школы-началка'!W35+'Школы-основная'!Y35+'Школы-средняя'!U35+Допобразование!L34+Коррекция!G34+ППК!G33+Работы!H33</f>
        <v>2877.9000000000005</v>
      </c>
      <c r="D32" s="48">
        <v>2872.3</v>
      </c>
      <c r="E32" s="48">
        <f t="shared" si="0"/>
        <v>-5.600000000000364</v>
      </c>
      <c r="F32" s="81"/>
      <c r="G32" s="82"/>
      <c r="H32" s="82"/>
      <c r="I32" s="83"/>
      <c r="J32" s="84"/>
      <c r="K32" s="85"/>
      <c r="L32" s="85"/>
    </row>
    <row r="33" spans="1:12" s="35" customFormat="1" ht="18.75" customHeight="1">
      <c r="A33" s="25">
        <v>29</v>
      </c>
      <c r="B33" s="31" t="s">
        <v>26</v>
      </c>
      <c r="C33" s="66">
        <f>'Школы-началка'!W36+'Школы-основная'!Y36+'Школы-средняя'!U36+Допобразование!L35+Коррекция!G35+ППК!G34+Работы!H34</f>
        <v>6293.399999999998</v>
      </c>
      <c r="D33" s="48">
        <v>6286.4</v>
      </c>
      <c r="E33" s="48">
        <f t="shared" si="0"/>
        <v>-6.999999999998181</v>
      </c>
      <c r="F33" s="81"/>
      <c r="G33" s="82"/>
      <c r="H33" s="82"/>
      <c r="I33" s="83"/>
      <c r="J33" s="84"/>
      <c r="K33" s="87"/>
      <c r="L33" s="85"/>
    </row>
    <row r="34" spans="1:12" s="5" customFormat="1" ht="16.5" customHeight="1">
      <c r="A34" s="26">
        <v>30</v>
      </c>
      <c r="B34" s="29" t="s">
        <v>27</v>
      </c>
      <c r="C34" s="66">
        <f>'Школы-началка'!W37+'Школы-основная'!Y37+'Школы-средняя'!U37+Допобразование!L36+Коррекция!G36+ППК!G35+Работы!H35</f>
        <v>2096</v>
      </c>
      <c r="D34" s="48">
        <v>2089</v>
      </c>
      <c r="E34" s="48">
        <f t="shared" si="0"/>
        <v>-7</v>
      </c>
      <c r="F34" s="81"/>
      <c r="G34" s="82"/>
      <c r="H34" s="82"/>
      <c r="I34" s="83"/>
      <c r="J34" s="84"/>
      <c r="K34" s="85"/>
      <c r="L34" s="85"/>
    </row>
    <row r="35" spans="1:12" s="5" customFormat="1" ht="15.75">
      <c r="A35" s="25">
        <v>31</v>
      </c>
      <c r="B35" s="29" t="s">
        <v>28</v>
      </c>
      <c r="C35" s="66">
        <f>'Школы-началка'!W38+'Школы-основная'!Y38+'Школы-средняя'!U38+Допобразование!L37+Коррекция!G37+ППК!G36+Работы!H36</f>
        <v>3281.7000000000007</v>
      </c>
      <c r="D35" s="48">
        <v>3278.9</v>
      </c>
      <c r="E35" s="48">
        <f t="shared" si="0"/>
        <v>-2.8000000000006366</v>
      </c>
      <c r="F35" s="86"/>
      <c r="G35" s="82"/>
      <c r="H35" s="82"/>
      <c r="I35" s="83"/>
      <c r="J35" s="84"/>
      <c r="K35" s="85"/>
      <c r="L35" s="85"/>
    </row>
    <row r="36" spans="1:12" s="5" customFormat="1" ht="15.75">
      <c r="A36" s="26">
        <v>32</v>
      </c>
      <c r="B36" s="29" t="s">
        <v>29</v>
      </c>
      <c r="C36" s="66">
        <f>'Школы-началка'!W39+'Школы-основная'!Y39+'Школы-средняя'!U39+Допобразование!L38+Коррекция!G38+ППК!G37+Работы!H37</f>
        <v>3753.1000000000004</v>
      </c>
      <c r="D36" s="48">
        <v>3744.7</v>
      </c>
      <c r="E36" s="48">
        <f t="shared" si="0"/>
        <v>-8.400000000000546</v>
      </c>
      <c r="F36" s="81"/>
      <c r="G36" s="82"/>
      <c r="H36" s="82"/>
      <c r="I36" s="83"/>
      <c r="J36" s="84"/>
      <c r="K36" s="85"/>
      <c r="L36" s="85"/>
    </row>
    <row r="37" spans="1:12" s="5" customFormat="1" ht="15.75">
      <c r="A37" s="25">
        <v>33</v>
      </c>
      <c r="B37" s="29" t="s">
        <v>30</v>
      </c>
      <c r="C37" s="66">
        <f>'Школы-началка'!W40+'Школы-основная'!Y40+'Школы-средняя'!U40+Допобразование!L39+Коррекция!G39+ППК!G38+Работы!H38</f>
        <v>1185.3000000000002</v>
      </c>
      <c r="D37" s="48">
        <v>1176.9</v>
      </c>
      <c r="E37" s="48">
        <f t="shared" si="0"/>
        <v>-8.400000000000091</v>
      </c>
      <c r="F37" s="81"/>
      <c r="G37" s="82"/>
      <c r="H37" s="82"/>
      <c r="I37" s="83"/>
      <c r="J37" s="84"/>
      <c r="K37" s="85"/>
      <c r="L37" s="85"/>
    </row>
    <row r="38" spans="1:12" s="5" customFormat="1" ht="15.75">
      <c r="A38" s="26">
        <v>34</v>
      </c>
      <c r="B38" s="29" t="s">
        <v>31</v>
      </c>
      <c r="C38" s="66">
        <f>'Школы-началка'!W41+'Школы-основная'!Y41+'Школы-средняя'!U41+Допобразование!L40+Коррекция!G40+ППК!G39+Работы!H39</f>
        <v>3715.1999999999994</v>
      </c>
      <c r="D38" s="48">
        <v>3708.2</v>
      </c>
      <c r="E38" s="48">
        <f t="shared" si="0"/>
        <v>-6.999999999999545</v>
      </c>
      <c r="F38" s="86"/>
      <c r="G38" s="82"/>
      <c r="H38" s="82"/>
      <c r="I38" s="83"/>
      <c r="J38" s="84"/>
      <c r="K38" s="85"/>
      <c r="L38" s="85"/>
    </row>
    <row r="39" spans="1:12" s="5" customFormat="1" ht="22.5" customHeight="1">
      <c r="A39" s="25">
        <v>35</v>
      </c>
      <c r="B39" s="29" t="s">
        <v>32</v>
      </c>
      <c r="C39" s="66">
        <f>'Школы-началка'!W42+'Школы-основная'!Y42+'Школы-средняя'!U42+Допобразование!L41+Коррекция!G41+ППК!G40+Работы!H40</f>
        <v>4039.4</v>
      </c>
      <c r="D39" s="48">
        <v>4033.8</v>
      </c>
      <c r="E39" s="48">
        <f t="shared" si="0"/>
        <v>-5.599999999999909</v>
      </c>
      <c r="F39" s="86"/>
      <c r="G39" s="82"/>
      <c r="H39" s="82"/>
      <c r="I39" s="83"/>
      <c r="J39" s="84"/>
      <c r="K39" s="85"/>
      <c r="L39" s="85"/>
    </row>
    <row r="40" spans="1:12" s="5" customFormat="1" ht="21.75" customHeight="1">
      <c r="A40" s="26">
        <v>36</v>
      </c>
      <c r="B40" s="29" t="s">
        <v>33</v>
      </c>
      <c r="C40" s="66">
        <f>'Школы-началка'!W43+'Школы-основная'!Y43+'Школы-средняя'!U43+Допобразование!L42+Коррекция!G42+ППК!G41+Работы!H41</f>
        <v>1261.3999999999999</v>
      </c>
      <c r="D40" s="48">
        <v>1255.8</v>
      </c>
      <c r="E40" s="48">
        <f t="shared" si="0"/>
        <v>-5.599999999999909</v>
      </c>
      <c r="F40" s="81"/>
      <c r="G40" s="82"/>
      <c r="H40" s="82"/>
      <c r="I40" s="83"/>
      <c r="J40" s="84"/>
      <c r="K40" s="85"/>
      <c r="L40" s="85"/>
    </row>
    <row r="41" spans="1:12" s="33" customFormat="1" ht="21" customHeight="1">
      <c r="A41" s="25">
        <v>37</v>
      </c>
      <c r="B41" s="31" t="s">
        <v>34</v>
      </c>
      <c r="C41" s="66">
        <f>'Школы-началка'!W44+'Школы-основная'!Y44+'Школы-средняя'!U44+Допобразование!L43+Коррекция!G43+ППК!G42+Работы!H42</f>
        <v>1030.3999999999999</v>
      </c>
      <c r="D41" s="48">
        <v>1024.8</v>
      </c>
      <c r="E41" s="48">
        <f t="shared" si="0"/>
        <v>-5.599999999999909</v>
      </c>
      <c r="F41" s="81"/>
      <c r="G41" s="82"/>
      <c r="H41" s="82"/>
      <c r="I41" s="83"/>
      <c r="J41" s="84"/>
      <c r="K41" s="85"/>
      <c r="L41" s="85"/>
    </row>
    <row r="42" spans="1:12" s="33" customFormat="1" ht="15.75">
      <c r="A42" s="26">
        <v>38</v>
      </c>
      <c r="B42" s="31" t="s">
        <v>35</v>
      </c>
      <c r="C42" s="66">
        <f>'Школы-началка'!W45+'Школы-основная'!Y45+'Школы-средняя'!U45+Допобразование!L44+Коррекция!G44+ППК!G43+Работы!H43</f>
        <v>1740.5000000000002</v>
      </c>
      <c r="D42" s="48">
        <v>1737.7</v>
      </c>
      <c r="E42" s="48">
        <f t="shared" si="0"/>
        <v>-2.800000000000182</v>
      </c>
      <c r="F42" s="81"/>
      <c r="G42" s="82"/>
      <c r="H42" s="82"/>
      <c r="I42" s="83"/>
      <c r="J42" s="84"/>
      <c r="K42" s="85"/>
      <c r="L42" s="85"/>
    </row>
    <row r="43" spans="1:12" s="5" customFormat="1" ht="16.5" thickBot="1">
      <c r="A43" s="25">
        <v>39</v>
      </c>
      <c r="B43" s="36" t="s">
        <v>36</v>
      </c>
      <c r="C43" s="66">
        <f>'Школы-началка'!W46+'Школы-основная'!Y46+'Школы-средняя'!U46+Допобразование!L45+Коррекция!G45+ППК!G44+Работы!H44</f>
        <v>2191.2</v>
      </c>
      <c r="D43" s="48">
        <v>3087.2</v>
      </c>
      <c r="E43" s="48">
        <f t="shared" si="0"/>
        <v>896</v>
      </c>
      <c r="F43" s="81"/>
      <c r="G43" s="82"/>
      <c r="H43" s="82"/>
      <c r="I43" s="83"/>
      <c r="J43" s="84"/>
      <c r="K43" s="85"/>
      <c r="L43" s="85"/>
    </row>
    <row r="44" spans="1:12" s="5" customFormat="1" ht="16.5" thickBot="1">
      <c r="A44" s="6"/>
      <c r="B44" s="7" t="s">
        <v>37</v>
      </c>
      <c r="C44" s="67">
        <f>SUM(C5:C43)</f>
        <v>109929.89999999997</v>
      </c>
      <c r="D44" s="48">
        <f>SUM(D5:D43)</f>
        <v>112849.09999999999</v>
      </c>
      <c r="E44" s="48">
        <f>SUM(E5:E43)</f>
        <v>2919.2000000000035</v>
      </c>
      <c r="F44" s="81"/>
      <c r="G44" s="82"/>
      <c r="H44" s="82"/>
      <c r="I44" s="83"/>
      <c r="J44" s="84"/>
      <c r="K44" s="85"/>
      <c r="L44" s="85"/>
    </row>
    <row r="45" spans="1:12" s="5" customFormat="1" ht="18" customHeight="1">
      <c r="A45" s="8"/>
      <c r="B45" s="9"/>
      <c r="C45" s="62"/>
      <c r="F45" s="52"/>
      <c r="G45" s="52"/>
      <c r="H45" s="52"/>
      <c r="I45" s="52"/>
      <c r="J45" s="79"/>
      <c r="K45" s="75"/>
      <c r="L45" s="75"/>
    </row>
    <row r="46" spans="1:12" s="5" customFormat="1" ht="15.75">
      <c r="A46" s="11"/>
      <c r="B46" s="12"/>
      <c r="C46" s="62"/>
      <c r="F46" s="52"/>
      <c r="G46" s="82"/>
      <c r="H46" s="52"/>
      <c r="I46" s="52"/>
      <c r="J46" s="79"/>
      <c r="K46" s="75"/>
      <c r="L46" s="75"/>
    </row>
    <row r="47" spans="1:12" s="5" customFormat="1" ht="15.75">
      <c r="A47" s="11"/>
      <c r="B47" s="12"/>
      <c r="C47" s="62"/>
      <c r="F47" s="52"/>
      <c r="G47" s="52"/>
      <c r="H47" s="52"/>
      <c r="I47" s="52"/>
      <c r="J47" s="79"/>
      <c r="K47" s="75"/>
      <c r="L47" s="75"/>
    </row>
    <row r="48" spans="1:12" s="5" customFormat="1" ht="15.75">
      <c r="A48" s="11"/>
      <c r="B48" s="12"/>
      <c r="C48" s="62"/>
      <c r="F48" s="52"/>
      <c r="G48" s="52"/>
      <c r="H48" s="52"/>
      <c r="I48" s="52"/>
      <c r="J48" s="79"/>
      <c r="K48" s="75"/>
      <c r="L48" s="75"/>
    </row>
    <row r="49" spans="1:12" s="5" customFormat="1" ht="15.75">
      <c r="A49" s="11"/>
      <c r="B49" s="12"/>
      <c r="C49" s="62"/>
      <c r="F49" s="52"/>
      <c r="G49" s="52"/>
      <c r="H49" s="52"/>
      <c r="I49" s="52"/>
      <c r="J49" s="79"/>
      <c r="K49" s="75"/>
      <c r="L49" s="75"/>
    </row>
    <row r="50" spans="1:12" s="5" customFormat="1" ht="15.75">
      <c r="A50" s="11"/>
      <c r="B50" s="14"/>
      <c r="C50" s="62"/>
      <c r="F50" s="52"/>
      <c r="G50" s="52"/>
      <c r="H50" s="52"/>
      <c r="I50" s="52"/>
      <c r="J50" s="79"/>
      <c r="K50" s="75"/>
      <c r="L50" s="75"/>
    </row>
    <row r="51" spans="1:12" s="5" customFormat="1" ht="15.75">
      <c r="A51" s="11"/>
      <c r="B51" s="14"/>
      <c r="C51" s="62"/>
      <c r="F51" s="52"/>
      <c r="G51" s="52"/>
      <c r="H51" s="52"/>
      <c r="I51" s="52"/>
      <c r="J51" s="79"/>
      <c r="K51" s="75"/>
      <c r="L51" s="75"/>
    </row>
    <row r="52" spans="1:12" s="5" customFormat="1" ht="16.5" customHeight="1">
      <c r="A52" s="11"/>
      <c r="B52" s="12"/>
      <c r="C52" s="62"/>
      <c r="F52" s="52"/>
      <c r="G52" s="52"/>
      <c r="H52" s="52"/>
      <c r="I52" s="52"/>
      <c r="J52" s="79"/>
      <c r="K52" s="75"/>
      <c r="L52" s="75"/>
    </row>
    <row r="53" spans="1:12" s="5" customFormat="1" ht="15.75">
      <c r="A53" s="11"/>
      <c r="B53" s="12"/>
      <c r="C53" s="62"/>
      <c r="F53" s="52"/>
      <c r="G53" s="52"/>
      <c r="H53" s="52"/>
      <c r="I53" s="52"/>
      <c r="J53" s="79"/>
      <c r="K53" s="75"/>
      <c r="L53" s="75"/>
    </row>
    <row r="54" spans="1:12" s="5" customFormat="1" ht="15.75">
      <c r="A54" s="11"/>
      <c r="B54" s="12"/>
      <c r="C54" s="62"/>
      <c r="F54" s="52"/>
      <c r="G54" s="52"/>
      <c r="H54" s="52"/>
      <c r="I54" s="52"/>
      <c r="J54" s="79"/>
      <c r="K54" s="75"/>
      <c r="L54" s="75"/>
    </row>
    <row r="55" spans="1:12" s="5" customFormat="1" ht="15.75">
      <c r="A55" s="11"/>
      <c r="B55" s="12"/>
      <c r="C55" s="62"/>
      <c r="F55" s="52"/>
      <c r="G55" s="52"/>
      <c r="H55" s="52"/>
      <c r="I55" s="52"/>
      <c r="J55" s="79"/>
      <c r="K55" s="75"/>
      <c r="L55" s="75"/>
    </row>
    <row r="56" spans="1:12" s="5" customFormat="1" ht="15.75">
      <c r="A56" s="11"/>
      <c r="B56" s="12"/>
      <c r="C56" s="62"/>
      <c r="F56" s="52"/>
      <c r="G56" s="52"/>
      <c r="H56" s="52"/>
      <c r="I56" s="52"/>
      <c r="J56" s="79"/>
      <c r="K56" s="75"/>
      <c r="L56" s="75"/>
    </row>
    <row r="57" spans="1:12" s="5" customFormat="1" ht="15.75">
      <c r="A57" s="11"/>
      <c r="B57" s="12"/>
      <c r="C57" s="62"/>
      <c r="F57" s="52"/>
      <c r="G57" s="52"/>
      <c r="H57" s="52"/>
      <c r="I57" s="52"/>
      <c r="J57" s="79"/>
      <c r="K57" s="75"/>
      <c r="L57" s="75"/>
    </row>
    <row r="58" spans="1:12" s="5" customFormat="1" ht="15.75">
      <c r="A58" s="11"/>
      <c r="B58" s="15"/>
      <c r="C58" s="62"/>
      <c r="F58" s="52"/>
      <c r="G58" s="52"/>
      <c r="H58" s="52"/>
      <c r="I58" s="52"/>
      <c r="J58" s="79"/>
      <c r="K58" s="75"/>
      <c r="L58" s="75"/>
    </row>
    <row r="59" spans="1:12" s="17" customFormat="1" ht="16.5" customHeight="1">
      <c r="A59" s="295"/>
      <c r="B59" s="295"/>
      <c r="C59" s="64"/>
      <c r="F59" s="53"/>
      <c r="G59" s="53"/>
      <c r="H59" s="53"/>
      <c r="I59" s="53"/>
      <c r="J59" s="88"/>
      <c r="K59" s="89"/>
      <c r="L59" s="89"/>
    </row>
    <row r="60" spans="1:2" ht="15.75">
      <c r="A60" s="11"/>
      <c r="B60" s="14"/>
    </row>
    <row r="61" spans="1:2" ht="15.75">
      <c r="A61" s="11"/>
      <c r="B61" s="14"/>
    </row>
    <row r="62" spans="1:2" ht="15.75">
      <c r="A62" s="11"/>
      <c r="B62" s="14"/>
    </row>
    <row r="63" spans="1:2" ht="15.75">
      <c r="A63" s="11"/>
      <c r="B63" s="14"/>
    </row>
    <row r="64" spans="1:2" ht="18" customHeight="1">
      <c r="A64" s="11"/>
      <c r="B64" s="14"/>
    </row>
    <row r="65" spans="1:2" ht="15.75">
      <c r="A65" s="11"/>
      <c r="B65" s="14"/>
    </row>
    <row r="66" spans="1:2" ht="15.75">
      <c r="A66" s="11"/>
      <c r="B66" s="14"/>
    </row>
    <row r="67" spans="1:2" ht="15.75">
      <c r="A67" s="11"/>
      <c r="B67" s="14"/>
    </row>
    <row r="68" spans="1:2" ht="15.75">
      <c r="A68" s="11"/>
      <c r="B68" s="14"/>
    </row>
    <row r="69" spans="1:2" ht="15.75">
      <c r="A69" s="11"/>
      <c r="B69" s="14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1"/>
      <c r="B99" s="12"/>
    </row>
    <row r="100" spans="1:2" ht="15.75">
      <c r="A100" s="11"/>
      <c r="B100" s="12"/>
    </row>
    <row r="101" spans="1:2" ht="15.75">
      <c r="A101" s="11"/>
      <c r="B101" s="12"/>
    </row>
    <row r="102" spans="1:2" ht="15.75">
      <c r="A102" s="11"/>
      <c r="B102" s="12"/>
    </row>
    <row r="103" spans="1:2" ht="15.75">
      <c r="A103" s="11"/>
      <c r="B103" s="12"/>
    </row>
    <row r="104" spans="1:2" ht="15.75">
      <c r="A104" s="19"/>
      <c r="B104" s="20"/>
    </row>
    <row r="105" spans="1:2" ht="18.75">
      <c r="A105" s="21"/>
      <c r="B105" s="21"/>
    </row>
    <row r="106" spans="1:2" ht="12.75">
      <c r="A106" s="19"/>
      <c r="B106" s="19"/>
    </row>
  </sheetData>
  <sheetProtection/>
  <mergeCells count="2">
    <mergeCell ref="A1:B1"/>
    <mergeCell ref="A59:B59"/>
  </mergeCells>
  <printOptions horizontalCentered="1"/>
  <pageMargins left="0" right="0" top="0.5905511811023623" bottom="0" header="0" footer="0"/>
  <pageSetup horizontalDpi="600" verticalDpi="600" orientation="portrait" paperSize="9" scale="71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BreakPreview" zoomScale="71" zoomScaleNormal="74" zoomScaleSheetLayoutView="7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0" sqref="D40"/>
    </sheetView>
  </sheetViews>
  <sheetFormatPr defaultColWidth="9.140625" defaultRowHeight="12.75"/>
  <cols>
    <col min="1" max="1" width="9.00390625" style="165" customWidth="1"/>
    <col min="2" max="2" width="36.140625" style="165" customWidth="1"/>
    <col min="3" max="4" width="29.421875" style="159" customWidth="1"/>
    <col min="5" max="5" width="29.00390625" style="159" customWidth="1"/>
    <col min="6" max="6" width="27.00390625" style="159" customWidth="1"/>
    <col min="7" max="7" width="29.00390625" style="159" customWidth="1"/>
    <col min="8" max="8" width="21.421875" style="160" customWidth="1"/>
    <col min="9" max="9" width="14.140625" style="160" customWidth="1"/>
    <col min="10" max="10" width="15.7109375" style="160" customWidth="1"/>
    <col min="11" max="11" width="9.140625" style="160" customWidth="1"/>
    <col min="12" max="12" width="17.8515625" style="160" customWidth="1"/>
    <col min="13" max="13" width="24.57421875" style="160" customWidth="1"/>
    <col min="14" max="14" width="16.57421875" style="160" customWidth="1"/>
    <col min="15" max="15" width="14.7109375" style="159" customWidth="1"/>
    <col min="16" max="16384" width="9.140625" style="159" customWidth="1"/>
  </cols>
  <sheetData>
    <row r="1" spans="1:14" s="104" customFormat="1" ht="18.75">
      <c r="A1" s="271"/>
      <c r="B1" s="271"/>
      <c r="E1" s="330" t="s">
        <v>103</v>
      </c>
      <c r="F1" s="330"/>
      <c r="G1" s="330"/>
      <c r="H1" s="105"/>
      <c r="I1" s="105"/>
      <c r="J1" s="105"/>
      <c r="K1" s="105"/>
      <c r="L1" s="105"/>
      <c r="M1" s="105"/>
      <c r="N1" s="105"/>
    </row>
    <row r="2" spans="1:14" s="104" customFormat="1" ht="15.75" customHeight="1">
      <c r="A2" s="106"/>
      <c r="B2" s="258"/>
      <c r="H2" s="105"/>
      <c r="I2" s="105"/>
      <c r="J2" s="105"/>
      <c r="K2" s="105"/>
      <c r="L2" s="105"/>
      <c r="M2" s="105"/>
      <c r="N2" s="105"/>
    </row>
    <row r="3" spans="1:14" s="111" customFormat="1" ht="51.75" customHeight="1">
      <c r="A3" s="287" t="s">
        <v>38</v>
      </c>
      <c r="B3" s="276" t="s">
        <v>75</v>
      </c>
      <c r="C3" s="279" t="s">
        <v>80</v>
      </c>
      <c r="D3" s="279" t="s">
        <v>92</v>
      </c>
      <c r="E3" s="279" t="s">
        <v>91</v>
      </c>
      <c r="F3" s="328" t="s">
        <v>82</v>
      </c>
      <c r="G3" s="279" t="s">
        <v>90</v>
      </c>
      <c r="H3" s="110"/>
      <c r="I3" s="110"/>
      <c r="J3" s="110"/>
      <c r="K3" s="110"/>
      <c r="L3" s="110"/>
      <c r="M3" s="110"/>
      <c r="N3" s="110"/>
    </row>
    <row r="4" spans="1:14" s="111" customFormat="1" ht="64.5" customHeight="1">
      <c r="A4" s="289"/>
      <c r="B4" s="276"/>
      <c r="C4" s="279"/>
      <c r="D4" s="279"/>
      <c r="E4" s="279"/>
      <c r="F4" s="329"/>
      <c r="G4" s="279"/>
      <c r="H4" s="259"/>
      <c r="I4" s="110"/>
      <c r="J4" s="110"/>
      <c r="K4" s="110"/>
      <c r="L4" s="260"/>
      <c r="M4" s="260"/>
      <c r="N4" s="260"/>
    </row>
    <row r="5" spans="1:14" s="104" customFormat="1" ht="15.75">
      <c r="A5" s="180">
        <v>1</v>
      </c>
      <c r="B5" s="181" t="s">
        <v>0</v>
      </c>
      <c r="C5" s="261">
        <f>'[1]Свод в приказ'!$C5</f>
        <v>15742.2</v>
      </c>
      <c r="D5" s="261">
        <f>'[2]Свод'!$C7</f>
        <v>3355.8</v>
      </c>
      <c r="E5" s="239">
        <f>'Свод '!C5</f>
        <v>2608.6</v>
      </c>
      <c r="F5" s="239">
        <v>393.4</v>
      </c>
      <c r="G5" s="189">
        <f>C5+D5+E5+F5</f>
        <v>22100</v>
      </c>
      <c r="H5" s="262"/>
      <c r="I5" s="263"/>
      <c r="J5" s="263"/>
      <c r="K5" s="264"/>
      <c r="L5" s="263"/>
      <c r="M5" s="262"/>
      <c r="N5" s="262"/>
    </row>
    <row r="6" spans="1:14" s="104" customFormat="1" ht="15.75">
      <c r="A6" s="193">
        <v>2</v>
      </c>
      <c r="B6" s="181" t="s">
        <v>62</v>
      </c>
      <c r="C6" s="261">
        <f>'[1]Свод в приказ'!$C6</f>
        <v>28619.9</v>
      </c>
      <c r="D6" s="261">
        <f>'[2]Свод'!$C8</f>
        <v>9145.6</v>
      </c>
      <c r="E6" s="239">
        <f>'Свод '!C6</f>
        <v>4121.5</v>
      </c>
      <c r="F6" s="239">
        <v>232.4</v>
      </c>
      <c r="G6" s="189">
        <f aca="true" t="shared" si="0" ref="G6:G43">C6+D6+E6+F6</f>
        <v>42119.4</v>
      </c>
      <c r="H6" s="262"/>
      <c r="I6" s="263"/>
      <c r="J6" s="263"/>
      <c r="K6" s="264"/>
      <c r="L6" s="263"/>
      <c r="M6" s="262"/>
      <c r="N6" s="262"/>
    </row>
    <row r="7" spans="1:14" s="104" customFormat="1" ht="15.75">
      <c r="A7" s="193">
        <v>3</v>
      </c>
      <c r="B7" s="181" t="s">
        <v>1</v>
      </c>
      <c r="C7" s="261">
        <f>'[1]Свод в приказ'!$C7</f>
        <v>21118.8</v>
      </c>
      <c r="D7" s="261">
        <f>'[2]Свод'!$C9</f>
        <v>3852.9000000000005</v>
      </c>
      <c r="E7" s="239">
        <f>'Свод '!C7</f>
        <v>2426.5000000000005</v>
      </c>
      <c r="F7" s="239">
        <v>231.7</v>
      </c>
      <c r="G7" s="189">
        <f t="shared" si="0"/>
        <v>27629.9</v>
      </c>
      <c r="H7" s="262"/>
      <c r="I7" s="263"/>
      <c r="J7" s="263"/>
      <c r="K7" s="264"/>
      <c r="L7" s="263"/>
      <c r="M7" s="262"/>
      <c r="N7" s="262"/>
    </row>
    <row r="8" spans="1:14" s="104" customFormat="1" ht="15.75">
      <c r="A8" s="193">
        <v>4</v>
      </c>
      <c r="B8" s="181" t="s">
        <v>2</v>
      </c>
      <c r="C8" s="261">
        <f>'[1]Свод в приказ'!$C8</f>
        <v>14860.1</v>
      </c>
      <c r="D8" s="261">
        <f>'[2]Свод'!$C10</f>
        <v>3847.3</v>
      </c>
      <c r="E8" s="239">
        <f>'Свод '!C8</f>
        <v>3305.0999999999995</v>
      </c>
      <c r="F8" s="239">
        <v>215.4</v>
      </c>
      <c r="G8" s="189">
        <f t="shared" si="0"/>
        <v>22227.9</v>
      </c>
      <c r="H8" s="262"/>
      <c r="I8" s="263"/>
      <c r="J8" s="263"/>
      <c r="K8" s="264"/>
      <c r="L8" s="263"/>
      <c r="M8" s="262"/>
      <c r="N8" s="262"/>
    </row>
    <row r="9" spans="1:14" s="104" customFormat="1" ht="15.75">
      <c r="A9" s="193">
        <v>5</v>
      </c>
      <c r="B9" s="181" t="s">
        <v>61</v>
      </c>
      <c r="C9" s="261">
        <f>'[1]Свод в приказ'!$C9</f>
        <v>10345.199999999999</v>
      </c>
      <c r="D9" s="261">
        <f>'[2]Свод'!$C11+61+604.6</f>
        <v>5027.1</v>
      </c>
      <c r="E9" s="239">
        <f>'Свод '!C9+822+822</f>
        <v>2163.7</v>
      </c>
      <c r="F9" s="239">
        <v>114.2</v>
      </c>
      <c r="G9" s="189">
        <f t="shared" si="0"/>
        <v>17650.2</v>
      </c>
      <c r="H9" s="262"/>
      <c r="I9" s="263"/>
      <c r="J9" s="263"/>
      <c r="K9" s="264"/>
      <c r="L9" s="263"/>
      <c r="M9" s="262"/>
      <c r="N9" s="262"/>
    </row>
    <row r="10" spans="1:14" s="104" customFormat="1" ht="15.75">
      <c r="A10" s="193">
        <v>6</v>
      </c>
      <c r="B10" s="181" t="s">
        <v>3</v>
      </c>
      <c r="C10" s="261">
        <f>'[1]Свод в приказ'!$C10</f>
        <v>22358.800000000003</v>
      </c>
      <c r="D10" s="261">
        <f>'[2]Свод'!$C12</f>
        <v>11122.100000000002</v>
      </c>
      <c r="E10" s="239">
        <f>'Свод '!C10</f>
        <v>2944.9000000000005</v>
      </c>
      <c r="F10" s="239">
        <v>297.1</v>
      </c>
      <c r="G10" s="189">
        <f t="shared" si="0"/>
        <v>36722.90000000001</v>
      </c>
      <c r="H10" s="262"/>
      <c r="I10" s="263"/>
      <c r="J10" s="263"/>
      <c r="K10" s="264"/>
      <c r="L10" s="263"/>
      <c r="M10" s="265"/>
      <c r="N10" s="262"/>
    </row>
    <row r="11" spans="1:14" s="104" customFormat="1" ht="15.75" customHeight="1">
      <c r="A11" s="193">
        <v>7</v>
      </c>
      <c r="B11" s="181" t="s">
        <v>4</v>
      </c>
      <c r="C11" s="261">
        <f>'[1]Свод в приказ'!$C11</f>
        <v>26730.4</v>
      </c>
      <c r="D11" s="261">
        <f>'[2]Свод'!$C13</f>
        <v>9102.3</v>
      </c>
      <c r="E11" s="239">
        <f>'Свод '!C11</f>
        <v>3271.499999999999</v>
      </c>
      <c r="F11" s="239">
        <v>283.6</v>
      </c>
      <c r="G11" s="189">
        <f t="shared" si="0"/>
        <v>39387.799999999996</v>
      </c>
      <c r="H11" s="262"/>
      <c r="I11" s="263"/>
      <c r="J11" s="263"/>
      <c r="K11" s="264"/>
      <c r="L11" s="263"/>
      <c r="M11" s="265"/>
      <c r="N11" s="262"/>
    </row>
    <row r="12" spans="1:14" s="201" customFormat="1" ht="15.75">
      <c r="A12" s="198">
        <v>8</v>
      </c>
      <c r="B12" s="199" t="s">
        <v>5</v>
      </c>
      <c r="C12" s="261">
        <f>'[1]Свод в приказ'!$C12</f>
        <v>25707.5</v>
      </c>
      <c r="D12" s="261">
        <f>'[2]Свод'!$C14</f>
        <v>5824.900000000001</v>
      </c>
      <c r="E12" s="239">
        <f>'Свод '!C12</f>
        <v>4202.8</v>
      </c>
      <c r="F12" s="239">
        <v>122.7</v>
      </c>
      <c r="G12" s="189">
        <f t="shared" si="0"/>
        <v>35857.9</v>
      </c>
      <c r="H12" s="262"/>
      <c r="I12" s="263"/>
      <c r="J12" s="263"/>
      <c r="K12" s="264"/>
      <c r="L12" s="263"/>
      <c r="M12" s="266"/>
      <c r="N12" s="262"/>
    </row>
    <row r="13" spans="1:14" s="104" customFormat="1" ht="15.75">
      <c r="A13" s="193">
        <v>9</v>
      </c>
      <c r="B13" s="181" t="s">
        <v>6</v>
      </c>
      <c r="C13" s="261">
        <f>'[1]Свод в приказ'!$C13</f>
        <v>4530.200000000001</v>
      </c>
      <c r="D13" s="261">
        <f>'[2]Свод'!$C15</f>
        <v>823.9999999999999</v>
      </c>
      <c r="E13" s="239">
        <f>'Свод '!C13</f>
        <v>1163.1999999999998</v>
      </c>
      <c r="F13" s="239">
        <v>5.8</v>
      </c>
      <c r="G13" s="189">
        <f t="shared" si="0"/>
        <v>6523.200000000001</v>
      </c>
      <c r="H13" s="262"/>
      <c r="I13" s="263"/>
      <c r="J13" s="263"/>
      <c r="K13" s="264"/>
      <c r="L13" s="263"/>
      <c r="M13" s="266"/>
      <c r="N13" s="262"/>
    </row>
    <row r="14" spans="1:14" s="104" customFormat="1" ht="15.75">
      <c r="A14" s="198">
        <v>10</v>
      </c>
      <c r="B14" s="202" t="s">
        <v>7</v>
      </c>
      <c r="C14" s="261">
        <f>'[1]Свод в приказ'!$C14</f>
        <v>10783.6</v>
      </c>
      <c r="D14" s="261">
        <f>'[2]Свод'!$C16</f>
        <v>3052.4</v>
      </c>
      <c r="E14" s="239">
        <f>'Свод '!C14</f>
        <v>3374.5999999999995</v>
      </c>
      <c r="F14" s="239">
        <v>27.1</v>
      </c>
      <c r="G14" s="189">
        <f t="shared" si="0"/>
        <v>17237.699999999997</v>
      </c>
      <c r="H14" s="262"/>
      <c r="I14" s="263"/>
      <c r="J14" s="263"/>
      <c r="K14" s="264"/>
      <c r="L14" s="263"/>
      <c r="M14" s="262"/>
      <c r="N14" s="262"/>
    </row>
    <row r="15" spans="1:14" s="104" customFormat="1" ht="15.75">
      <c r="A15" s="193">
        <v>11</v>
      </c>
      <c r="B15" s="202" t="s">
        <v>8</v>
      </c>
      <c r="C15" s="261">
        <f>'[1]Свод в приказ'!$C15</f>
        <v>11570.899999999998</v>
      </c>
      <c r="D15" s="261">
        <f>'[2]Свод'!$C17</f>
        <v>3535.0000000000005</v>
      </c>
      <c r="E15" s="239">
        <f>'Свод '!C15</f>
        <v>2807.8999999999996</v>
      </c>
      <c r="F15" s="239">
        <v>87.4</v>
      </c>
      <c r="G15" s="189">
        <f t="shared" si="0"/>
        <v>18001.199999999997</v>
      </c>
      <c r="H15" s="262"/>
      <c r="I15" s="263"/>
      <c r="J15" s="263"/>
      <c r="K15" s="264"/>
      <c r="L15" s="263"/>
      <c r="M15" s="262"/>
      <c r="N15" s="262"/>
    </row>
    <row r="16" spans="1:14" s="104" customFormat="1" ht="15.75">
      <c r="A16" s="198">
        <v>12</v>
      </c>
      <c r="B16" s="202" t="s">
        <v>9</v>
      </c>
      <c r="C16" s="261">
        <f>'[1]Свод в приказ'!$C16</f>
        <v>13082.4</v>
      </c>
      <c r="D16" s="261">
        <f>'[2]Свод'!$C18</f>
        <v>2223.8999999999996</v>
      </c>
      <c r="E16" s="239">
        <f>'Свод '!C16</f>
        <v>3320.099999999999</v>
      </c>
      <c r="F16" s="239">
        <v>31.1</v>
      </c>
      <c r="G16" s="189">
        <f t="shared" si="0"/>
        <v>18657.499999999996</v>
      </c>
      <c r="H16" s="262"/>
      <c r="I16" s="263"/>
      <c r="J16" s="263"/>
      <c r="K16" s="264"/>
      <c r="L16" s="263"/>
      <c r="M16" s="262"/>
      <c r="N16" s="262"/>
    </row>
    <row r="17" spans="1:14" s="104" customFormat="1" ht="15.75">
      <c r="A17" s="193">
        <v>13</v>
      </c>
      <c r="B17" s="202" t="s">
        <v>10</v>
      </c>
      <c r="C17" s="261">
        <f>'[1]Свод в приказ'!$C17</f>
        <v>24903.2</v>
      </c>
      <c r="D17" s="261">
        <f>'[2]Свод'!$C19</f>
        <v>5590.6</v>
      </c>
      <c r="E17" s="239">
        <f>'Свод '!C17</f>
        <v>4272.999999999999</v>
      </c>
      <c r="F17" s="239">
        <v>45.8</v>
      </c>
      <c r="G17" s="189">
        <f t="shared" si="0"/>
        <v>34812.600000000006</v>
      </c>
      <c r="H17" s="262"/>
      <c r="I17" s="263"/>
      <c r="J17" s="263"/>
      <c r="K17" s="264"/>
      <c r="L17" s="263"/>
      <c r="M17" s="262"/>
      <c r="N17" s="262"/>
    </row>
    <row r="18" spans="1:14" s="104" customFormat="1" ht="19.5" customHeight="1">
      <c r="A18" s="198">
        <v>14</v>
      </c>
      <c r="B18" s="202" t="s">
        <v>11</v>
      </c>
      <c r="C18" s="261">
        <f>'[1]Свод в приказ'!$C18</f>
        <v>7105</v>
      </c>
      <c r="D18" s="261">
        <f>'[2]Свод'!$C20</f>
        <v>969.4000000000002</v>
      </c>
      <c r="E18" s="239">
        <f>'Свод '!C18</f>
        <v>1850.9999999999995</v>
      </c>
      <c r="F18" s="239">
        <v>17.1</v>
      </c>
      <c r="G18" s="189">
        <f t="shared" si="0"/>
        <v>9942.5</v>
      </c>
      <c r="H18" s="262"/>
      <c r="I18" s="263"/>
      <c r="J18" s="263"/>
      <c r="K18" s="264"/>
      <c r="L18" s="263"/>
      <c r="M18" s="266"/>
      <c r="N18" s="262"/>
    </row>
    <row r="19" spans="1:14" s="104" customFormat="1" ht="15.75">
      <c r="A19" s="193">
        <v>15</v>
      </c>
      <c r="B19" s="202" t="s">
        <v>12</v>
      </c>
      <c r="C19" s="261">
        <f>'[1]Свод в приказ'!$C19</f>
        <v>18298.800000000003</v>
      </c>
      <c r="D19" s="261">
        <f>'[2]Свод'!$C21</f>
        <v>2293.7999999999997</v>
      </c>
      <c r="E19" s="239">
        <f>'Свод '!C19</f>
        <v>4550.9</v>
      </c>
      <c r="F19" s="239">
        <v>373</v>
      </c>
      <c r="G19" s="189">
        <f t="shared" si="0"/>
        <v>25516.5</v>
      </c>
      <c r="H19" s="262"/>
      <c r="I19" s="263"/>
      <c r="J19" s="263"/>
      <c r="K19" s="264"/>
      <c r="L19" s="263"/>
      <c r="M19" s="262"/>
      <c r="N19" s="262"/>
    </row>
    <row r="20" spans="1:14" s="205" customFormat="1" ht="15.75" customHeight="1">
      <c r="A20" s="198">
        <v>16</v>
      </c>
      <c r="B20" s="133" t="s">
        <v>13</v>
      </c>
      <c r="C20" s="261">
        <f>'[1]Свод в приказ'!$C20</f>
        <v>9199.7</v>
      </c>
      <c r="D20" s="261">
        <f>'[2]Свод'!$C22</f>
        <v>1453.6000000000001</v>
      </c>
      <c r="E20" s="239">
        <f>'Свод '!C20</f>
        <v>3536.2</v>
      </c>
      <c r="F20" s="239">
        <v>15.9</v>
      </c>
      <c r="G20" s="189">
        <f t="shared" si="0"/>
        <v>14205.4</v>
      </c>
      <c r="H20" s="262"/>
      <c r="I20" s="263"/>
      <c r="J20" s="263"/>
      <c r="K20" s="264"/>
      <c r="L20" s="263"/>
      <c r="M20" s="262"/>
      <c r="N20" s="262"/>
    </row>
    <row r="21" spans="1:14" s="126" customFormat="1" ht="19.5" customHeight="1">
      <c r="A21" s="193">
        <v>17</v>
      </c>
      <c r="B21" s="133" t="s">
        <v>14</v>
      </c>
      <c r="C21" s="261">
        <f>'[1]Свод в приказ'!$C21</f>
        <v>4320.999999999999</v>
      </c>
      <c r="D21" s="261">
        <f>'[2]Свод'!$C23</f>
        <v>753.6999999999999</v>
      </c>
      <c r="E21" s="239">
        <f>'Свод '!C21</f>
        <v>1530.8999999999999</v>
      </c>
      <c r="F21" s="239">
        <v>11.7</v>
      </c>
      <c r="G21" s="189">
        <f t="shared" si="0"/>
        <v>6617.299999999998</v>
      </c>
      <c r="H21" s="262"/>
      <c r="I21" s="263"/>
      <c r="J21" s="263"/>
      <c r="K21" s="264"/>
      <c r="L21" s="263"/>
      <c r="M21" s="267"/>
      <c r="N21" s="262"/>
    </row>
    <row r="22" spans="1:14" s="104" customFormat="1" ht="15.75">
      <c r="A22" s="198">
        <v>18</v>
      </c>
      <c r="B22" s="202" t="s">
        <v>15</v>
      </c>
      <c r="C22" s="261">
        <f>'[1]Свод в приказ'!$C22</f>
        <v>5160.3</v>
      </c>
      <c r="D22" s="261">
        <f>'[2]Свод'!$C24</f>
        <v>911.3999999999999</v>
      </c>
      <c r="E22" s="239">
        <f>'Свод '!C22</f>
        <v>1373</v>
      </c>
      <c r="F22" s="239">
        <v>10.6</v>
      </c>
      <c r="G22" s="189">
        <f t="shared" si="0"/>
        <v>7455.3</v>
      </c>
      <c r="H22" s="262"/>
      <c r="I22" s="263"/>
      <c r="J22" s="263"/>
      <c r="K22" s="264"/>
      <c r="L22" s="263"/>
      <c r="M22" s="262"/>
      <c r="N22" s="262"/>
    </row>
    <row r="23" spans="1:14" s="205" customFormat="1" ht="21" customHeight="1">
      <c r="A23" s="193">
        <v>19</v>
      </c>
      <c r="B23" s="133" t="s">
        <v>16</v>
      </c>
      <c r="C23" s="261">
        <f>'[1]Свод в приказ'!$C23</f>
        <v>13210.2</v>
      </c>
      <c r="D23" s="261">
        <f>'[2]Свод'!$C25</f>
        <v>1801.8</v>
      </c>
      <c r="E23" s="239">
        <f>'Свод '!C23</f>
        <v>3540.2000000000003</v>
      </c>
      <c r="F23" s="239">
        <v>185.6</v>
      </c>
      <c r="G23" s="189">
        <f t="shared" si="0"/>
        <v>18737.8</v>
      </c>
      <c r="H23" s="262"/>
      <c r="I23" s="263"/>
      <c r="J23" s="263"/>
      <c r="K23" s="264"/>
      <c r="L23" s="263"/>
      <c r="M23" s="262"/>
      <c r="N23" s="262"/>
    </row>
    <row r="24" spans="1:14" s="104" customFormat="1" ht="15.75">
      <c r="A24" s="198">
        <v>20</v>
      </c>
      <c r="B24" s="202" t="s">
        <v>17</v>
      </c>
      <c r="C24" s="261">
        <f>'[1]Свод в приказ'!$C24</f>
        <v>18833.200000000004</v>
      </c>
      <c r="D24" s="261">
        <f>'[2]Свод'!$C26</f>
        <v>4209.1</v>
      </c>
      <c r="E24" s="239">
        <f>'Свод '!C24</f>
        <v>3243.6000000000004</v>
      </c>
      <c r="F24" s="239">
        <v>502.9</v>
      </c>
      <c r="G24" s="189">
        <f t="shared" si="0"/>
        <v>26788.800000000003</v>
      </c>
      <c r="H24" s="262"/>
      <c r="I24" s="263"/>
      <c r="J24" s="263"/>
      <c r="K24" s="264"/>
      <c r="L24" s="263"/>
      <c r="M24" s="262"/>
      <c r="N24" s="262"/>
    </row>
    <row r="25" spans="1:14" s="104" customFormat="1" ht="15.75">
      <c r="A25" s="193">
        <v>21</v>
      </c>
      <c r="B25" s="202" t="s">
        <v>18</v>
      </c>
      <c r="C25" s="261">
        <f>'[1]Свод в приказ'!$C25</f>
        <v>6582.6</v>
      </c>
      <c r="D25" s="261">
        <f>'[2]Свод'!$C27</f>
        <v>1403.9</v>
      </c>
      <c r="E25" s="239">
        <f>'Свод '!C25</f>
        <v>2190.1000000000004</v>
      </c>
      <c r="F25" s="239">
        <v>31</v>
      </c>
      <c r="G25" s="189">
        <f t="shared" si="0"/>
        <v>10207.6</v>
      </c>
      <c r="H25" s="262"/>
      <c r="I25" s="263"/>
      <c r="J25" s="263"/>
      <c r="K25" s="264"/>
      <c r="L25" s="263"/>
      <c r="M25" s="266"/>
      <c r="N25" s="262"/>
    </row>
    <row r="26" spans="1:14" s="126" customFormat="1" ht="15" customHeight="1">
      <c r="A26" s="198">
        <v>22</v>
      </c>
      <c r="B26" s="133" t="s">
        <v>19</v>
      </c>
      <c r="C26" s="261">
        <f>'[1]Свод в приказ'!$C26</f>
        <v>11770.699999999999</v>
      </c>
      <c r="D26" s="261">
        <f>'[2]Свод'!$C28</f>
        <v>2574.5</v>
      </c>
      <c r="E26" s="239">
        <f>'Свод '!C26</f>
        <v>3537.4000000000005</v>
      </c>
      <c r="F26" s="239">
        <v>1360.3</v>
      </c>
      <c r="G26" s="189">
        <f t="shared" si="0"/>
        <v>19242.899999999998</v>
      </c>
      <c r="H26" s="262"/>
      <c r="I26" s="263"/>
      <c r="J26" s="263"/>
      <c r="K26" s="264"/>
      <c r="L26" s="263"/>
      <c r="M26" s="268"/>
      <c r="N26" s="262"/>
    </row>
    <row r="27" spans="1:14" s="205" customFormat="1" ht="18.75" customHeight="1">
      <c r="A27" s="193">
        <v>23</v>
      </c>
      <c r="B27" s="133" t="s">
        <v>20</v>
      </c>
      <c r="C27" s="261">
        <f>'[1]Свод в приказ'!$C27</f>
        <v>8602.199999999999</v>
      </c>
      <c r="D27" s="261">
        <f>'[2]Свод'!$C29</f>
        <v>2821.2999999999997</v>
      </c>
      <c r="E27" s="239">
        <f>'Свод '!C27</f>
        <v>2025.1999999999998</v>
      </c>
      <c r="F27" s="239">
        <v>10.9</v>
      </c>
      <c r="G27" s="189">
        <f t="shared" si="0"/>
        <v>13459.599999999997</v>
      </c>
      <c r="H27" s="262"/>
      <c r="I27" s="263"/>
      <c r="J27" s="263"/>
      <c r="K27" s="264"/>
      <c r="L27" s="263"/>
      <c r="M27" s="266"/>
      <c r="N27" s="262"/>
    </row>
    <row r="28" spans="1:14" s="104" customFormat="1" ht="15.75">
      <c r="A28" s="198">
        <v>24</v>
      </c>
      <c r="B28" s="202" t="s">
        <v>21</v>
      </c>
      <c r="C28" s="261">
        <f>'[1]Свод в приказ'!$C28</f>
        <v>5253.1</v>
      </c>
      <c r="D28" s="261">
        <f>'[2]Свод'!$C30</f>
        <v>873.2</v>
      </c>
      <c r="E28" s="239">
        <f>'Свод '!C28</f>
        <v>2137.8</v>
      </c>
      <c r="F28" s="239">
        <v>45.9</v>
      </c>
      <c r="G28" s="189">
        <f t="shared" si="0"/>
        <v>8310</v>
      </c>
      <c r="H28" s="262"/>
      <c r="I28" s="263"/>
      <c r="J28" s="263"/>
      <c r="K28" s="264"/>
      <c r="L28" s="263"/>
      <c r="M28" s="266"/>
      <c r="N28" s="262"/>
    </row>
    <row r="29" spans="1:14" s="104" customFormat="1" ht="15.75">
      <c r="A29" s="193">
        <v>25</v>
      </c>
      <c r="B29" s="202" t="s">
        <v>22</v>
      </c>
      <c r="C29" s="261">
        <f>'[1]Свод в приказ'!$C29</f>
        <v>6046.200000000001</v>
      </c>
      <c r="D29" s="261">
        <f>'[2]Свод'!$C31</f>
        <v>1457.1000000000001</v>
      </c>
      <c r="E29" s="239">
        <f>'Свод '!C29</f>
        <v>2712.7</v>
      </c>
      <c r="F29" s="239">
        <v>11.6</v>
      </c>
      <c r="G29" s="189">
        <f t="shared" si="0"/>
        <v>10227.6</v>
      </c>
      <c r="H29" s="262"/>
      <c r="I29" s="263"/>
      <c r="J29" s="263"/>
      <c r="K29" s="264"/>
      <c r="L29" s="263"/>
      <c r="M29" s="266"/>
      <c r="N29" s="262"/>
    </row>
    <row r="30" spans="1:14" s="104" customFormat="1" ht="15.75">
      <c r="A30" s="198">
        <v>26</v>
      </c>
      <c r="B30" s="202" t="s">
        <v>23</v>
      </c>
      <c r="C30" s="261">
        <f>'[1]Свод в приказ'!$C30</f>
        <v>7002.6</v>
      </c>
      <c r="D30" s="261">
        <f>'[2]Свод'!$C32</f>
        <v>1657.9000000000003</v>
      </c>
      <c r="E30" s="239">
        <f>'Свод '!C30</f>
        <v>3136.4000000000005</v>
      </c>
      <c r="F30" s="239">
        <v>18.5</v>
      </c>
      <c r="G30" s="189">
        <f t="shared" si="0"/>
        <v>11815.400000000001</v>
      </c>
      <c r="H30" s="262"/>
      <c r="I30" s="263"/>
      <c r="J30" s="263"/>
      <c r="K30" s="264"/>
      <c r="L30" s="263"/>
      <c r="M30" s="266"/>
      <c r="N30" s="262"/>
    </row>
    <row r="31" spans="1:14" s="104" customFormat="1" ht="19.5" customHeight="1">
      <c r="A31" s="193">
        <v>27</v>
      </c>
      <c r="B31" s="202" t="s">
        <v>24</v>
      </c>
      <c r="C31" s="261">
        <f>'[1]Свод в приказ'!$C31</f>
        <v>9314.700000000003</v>
      </c>
      <c r="D31" s="261">
        <f>'[2]Свод'!$C33</f>
        <v>2876.4999999999995</v>
      </c>
      <c r="E31" s="239">
        <f>'Свод '!C31</f>
        <v>2759.5999999999995</v>
      </c>
      <c r="F31" s="239">
        <v>173.7</v>
      </c>
      <c r="G31" s="189">
        <f t="shared" si="0"/>
        <v>15124.500000000004</v>
      </c>
      <c r="H31" s="262"/>
      <c r="I31" s="263"/>
      <c r="J31" s="263"/>
      <c r="K31" s="264"/>
      <c r="L31" s="263"/>
      <c r="M31" s="266"/>
      <c r="N31" s="262"/>
    </row>
    <row r="32" spans="1:14" s="104" customFormat="1" ht="18" customHeight="1">
      <c r="A32" s="198">
        <v>28</v>
      </c>
      <c r="B32" s="202" t="s">
        <v>25</v>
      </c>
      <c r="C32" s="261">
        <f>'[1]Свод в приказ'!$C32</f>
        <v>4846.500000000001</v>
      </c>
      <c r="D32" s="261">
        <f>'[2]Свод'!$C34</f>
        <v>907.8</v>
      </c>
      <c r="E32" s="239">
        <f>'Свод '!C32</f>
        <v>2877.9000000000005</v>
      </c>
      <c r="F32" s="239">
        <v>10.8</v>
      </c>
      <c r="G32" s="189">
        <f t="shared" si="0"/>
        <v>8643</v>
      </c>
      <c r="H32" s="262"/>
      <c r="I32" s="263"/>
      <c r="J32" s="263"/>
      <c r="K32" s="264"/>
      <c r="L32" s="263"/>
      <c r="M32" s="266"/>
      <c r="N32" s="262"/>
    </row>
    <row r="33" spans="1:14" s="126" customFormat="1" ht="18.75" customHeight="1">
      <c r="A33" s="193">
        <v>29</v>
      </c>
      <c r="B33" s="133" t="s">
        <v>26</v>
      </c>
      <c r="C33" s="261">
        <f>'[1]Свод в приказ'!$C33</f>
        <v>9024.3</v>
      </c>
      <c r="D33" s="261">
        <f>'[2]Свод'!$C35</f>
        <v>1490</v>
      </c>
      <c r="E33" s="239">
        <f>'Свод '!C33</f>
        <v>6293.399999999998</v>
      </c>
      <c r="F33" s="239">
        <v>706</v>
      </c>
      <c r="G33" s="189">
        <f t="shared" si="0"/>
        <v>17513.699999999997</v>
      </c>
      <c r="H33" s="262"/>
      <c r="I33" s="263"/>
      <c r="J33" s="263"/>
      <c r="K33" s="264"/>
      <c r="L33" s="263"/>
      <c r="M33" s="268"/>
      <c r="N33" s="262"/>
    </row>
    <row r="34" spans="1:14" s="104" customFormat="1" ht="16.5" customHeight="1">
      <c r="A34" s="198">
        <v>30</v>
      </c>
      <c r="B34" s="202" t="s">
        <v>27</v>
      </c>
      <c r="C34" s="261">
        <f>'[1]Свод в приказ'!$C34</f>
        <v>5866.200000000001</v>
      </c>
      <c r="D34" s="261">
        <f>'[2]Свод'!$C36</f>
        <v>1118.9</v>
      </c>
      <c r="E34" s="239">
        <f>'Свод '!C34</f>
        <v>2096</v>
      </c>
      <c r="F34" s="239">
        <v>9.5</v>
      </c>
      <c r="G34" s="189">
        <f t="shared" si="0"/>
        <v>9090.6</v>
      </c>
      <c r="H34" s="262"/>
      <c r="I34" s="263"/>
      <c r="J34" s="263"/>
      <c r="K34" s="264"/>
      <c r="L34" s="263"/>
      <c r="M34" s="266"/>
      <c r="N34" s="262"/>
    </row>
    <row r="35" spans="1:14" s="104" customFormat="1" ht="15.75">
      <c r="A35" s="193">
        <v>31</v>
      </c>
      <c r="B35" s="202" t="s">
        <v>28</v>
      </c>
      <c r="C35" s="261">
        <f>'[1]Свод в приказ'!$C35</f>
        <v>8690.400000000001</v>
      </c>
      <c r="D35" s="261">
        <f>'[2]Свод'!$C37</f>
        <v>1746.6</v>
      </c>
      <c r="E35" s="239">
        <f>'Свод '!C35</f>
        <v>3281.7000000000007</v>
      </c>
      <c r="F35" s="239">
        <v>62.7</v>
      </c>
      <c r="G35" s="189">
        <f t="shared" si="0"/>
        <v>13781.400000000003</v>
      </c>
      <c r="H35" s="262"/>
      <c r="I35" s="263"/>
      <c r="J35" s="263"/>
      <c r="K35" s="264"/>
      <c r="L35" s="263"/>
      <c r="M35" s="266"/>
      <c r="N35" s="262"/>
    </row>
    <row r="36" spans="1:14" s="104" customFormat="1" ht="15.75">
      <c r="A36" s="198">
        <v>32</v>
      </c>
      <c r="B36" s="202" t="s">
        <v>29</v>
      </c>
      <c r="C36" s="261">
        <f>'[1]Свод в приказ'!$C36</f>
        <v>7262.499999999999</v>
      </c>
      <c r="D36" s="261">
        <f>'[2]Свод'!$C38</f>
        <v>1949.6000000000001</v>
      </c>
      <c r="E36" s="239">
        <f>'Свод '!C36</f>
        <v>3753.1000000000004</v>
      </c>
      <c r="F36" s="239">
        <v>40.5</v>
      </c>
      <c r="G36" s="189">
        <f t="shared" si="0"/>
        <v>13005.699999999999</v>
      </c>
      <c r="H36" s="262"/>
      <c r="I36" s="263"/>
      <c r="J36" s="263"/>
      <c r="K36" s="264"/>
      <c r="L36" s="263"/>
      <c r="M36" s="266"/>
      <c r="N36" s="262"/>
    </row>
    <row r="37" spans="1:14" s="104" customFormat="1" ht="15.75">
      <c r="A37" s="193">
        <v>33</v>
      </c>
      <c r="B37" s="202" t="s">
        <v>30</v>
      </c>
      <c r="C37" s="261">
        <f>'[1]Свод в приказ'!$C37</f>
        <v>5897.299999999999</v>
      </c>
      <c r="D37" s="261">
        <f>'[2]Свод'!$C39</f>
        <v>855.1999999999999</v>
      </c>
      <c r="E37" s="239">
        <f>'Свод '!C37</f>
        <v>1185.3000000000002</v>
      </c>
      <c r="F37" s="239">
        <v>2.3</v>
      </c>
      <c r="G37" s="189">
        <f t="shared" si="0"/>
        <v>7940.099999999999</v>
      </c>
      <c r="H37" s="262"/>
      <c r="I37" s="263"/>
      <c r="J37" s="263"/>
      <c r="K37" s="264"/>
      <c r="L37" s="263"/>
      <c r="M37" s="266"/>
      <c r="N37" s="262"/>
    </row>
    <row r="38" spans="1:14" s="104" customFormat="1" ht="15.75">
      <c r="A38" s="198">
        <v>34</v>
      </c>
      <c r="B38" s="202" t="s">
        <v>31</v>
      </c>
      <c r="C38" s="261">
        <f>'[1]Свод в приказ'!$C38</f>
        <v>11935.3</v>
      </c>
      <c r="D38" s="261">
        <f>'[2]Свод'!$C40</f>
        <v>1668.5</v>
      </c>
      <c r="E38" s="239">
        <f>'Свод '!C38</f>
        <v>3715.1999999999994</v>
      </c>
      <c r="F38" s="239">
        <v>49.4</v>
      </c>
      <c r="G38" s="189">
        <f t="shared" si="0"/>
        <v>17368.4</v>
      </c>
      <c r="H38" s="262"/>
      <c r="I38" s="263"/>
      <c r="J38" s="263"/>
      <c r="K38" s="264"/>
      <c r="L38" s="263"/>
      <c r="M38" s="266"/>
      <c r="N38" s="262"/>
    </row>
    <row r="39" spans="1:14" s="104" customFormat="1" ht="22.5" customHeight="1">
      <c r="A39" s="193">
        <v>35</v>
      </c>
      <c r="B39" s="202" t="s">
        <v>32</v>
      </c>
      <c r="C39" s="261">
        <f>'[1]Свод в приказ'!$C39</f>
        <v>12683.1</v>
      </c>
      <c r="D39" s="261">
        <f>'[2]Свод'!$C41</f>
        <v>2329.9</v>
      </c>
      <c r="E39" s="239">
        <f>'Свод '!C39</f>
        <v>4039.4</v>
      </c>
      <c r="F39" s="239">
        <v>110.7</v>
      </c>
      <c r="G39" s="189">
        <f t="shared" si="0"/>
        <v>19163.100000000002</v>
      </c>
      <c r="H39" s="262"/>
      <c r="I39" s="263"/>
      <c r="J39" s="263"/>
      <c r="K39" s="264"/>
      <c r="L39" s="263"/>
      <c r="M39" s="266"/>
      <c r="N39" s="262"/>
    </row>
    <row r="40" spans="1:14" s="104" customFormat="1" ht="21.75" customHeight="1">
      <c r="A40" s="198">
        <v>36</v>
      </c>
      <c r="B40" s="202" t="s">
        <v>33</v>
      </c>
      <c r="C40" s="261">
        <f>'[1]Свод в приказ'!$C40</f>
        <v>8538.7</v>
      </c>
      <c r="D40" s="261">
        <f>'[2]Свод'!$C42</f>
        <v>2588.5</v>
      </c>
      <c r="E40" s="239">
        <f>'Свод '!C40</f>
        <v>1261.3999999999999</v>
      </c>
      <c r="F40" s="239">
        <v>97.4</v>
      </c>
      <c r="G40" s="189">
        <f t="shared" si="0"/>
        <v>12486</v>
      </c>
      <c r="H40" s="262"/>
      <c r="I40" s="263"/>
      <c r="J40" s="263"/>
      <c r="K40" s="264"/>
      <c r="L40" s="263"/>
      <c r="M40" s="266"/>
      <c r="N40" s="262"/>
    </row>
    <row r="41" spans="1:14" s="205" customFormat="1" ht="21" customHeight="1">
      <c r="A41" s="193">
        <v>37</v>
      </c>
      <c r="B41" s="133" t="s">
        <v>34</v>
      </c>
      <c r="C41" s="261">
        <f>'[1]Свод в приказ'!$C41</f>
        <v>6515.700000000001</v>
      </c>
      <c r="D41" s="261">
        <f>'[2]Свод'!$C43</f>
        <v>950.9000000000001</v>
      </c>
      <c r="E41" s="239">
        <f>'Свод '!C41</f>
        <v>1030.3999999999999</v>
      </c>
      <c r="F41" s="239">
        <v>7.4</v>
      </c>
      <c r="G41" s="189">
        <f t="shared" si="0"/>
        <v>8504.4</v>
      </c>
      <c r="H41" s="262"/>
      <c r="I41" s="263"/>
      <c r="J41" s="263"/>
      <c r="K41" s="264"/>
      <c r="L41" s="263"/>
      <c r="M41" s="266"/>
      <c r="N41" s="262"/>
    </row>
    <row r="42" spans="1:14" s="205" customFormat="1" ht="15.75">
      <c r="A42" s="198">
        <v>38</v>
      </c>
      <c r="B42" s="133" t="s">
        <v>35</v>
      </c>
      <c r="C42" s="261">
        <f>'[1]Свод в приказ'!$C42</f>
        <v>4851.499999999999</v>
      </c>
      <c r="D42" s="261">
        <f>'[2]Свод'!$C44</f>
        <v>1524.5000000000002</v>
      </c>
      <c r="E42" s="239">
        <f>'Свод '!C42</f>
        <v>1740.5000000000002</v>
      </c>
      <c r="F42" s="239">
        <v>5.5</v>
      </c>
      <c r="G42" s="189">
        <f t="shared" si="0"/>
        <v>8121.999999999999</v>
      </c>
      <c r="H42" s="262"/>
      <c r="I42" s="263"/>
      <c r="J42" s="263"/>
      <c r="K42" s="264"/>
      <c r="L42" s="263"/>
      <c r="M42" s="266"/>
      <c r="N42" s="262"/>
    </row>
    <row r="43" spans="1:14" s="104" customFormat="1" ht="16.5" thickBot="1">
      <c r="A43" s="193">
        <v>39</v>
      </c>
      <c r="B43" s="214" t="s">
        <v>36</v>
      </c>
      <c r="C43" s="261">
        <f>'[1]Свод в приказ'!$C43</f>
        <v>6415.400000000001</v>
      </c>
      <c r="D43" s="261">
        <f>'[2]Свод'!$C45+26.4+46.1</f>
        <v>2758.9999999999995</v>
      </c>
      <c r="E43" s="239">
        <f>'Свод '!C43+427+427.1</f>
        <v>3045.2999999999997</v>
      </c>
      <c r="F43" s="239">
        <v>40.5</v>
      </c>
      <c r="G43" s="189">
        <f t="shared" si="0"/>
        <v>12260.199999999999</v>
      </c>
      <c r="H43" s="262"/>
      <c r="I43" s="263"/>
      <c r="J43" s="263"/>
      <c r="K43" s="264"/>
      <c r="L43" s="263"/>
      <c r="M43" s="266"/>
      <c r="N43" s="262"/>
    </row>
    <row r="44" spans="1:14" s="104" customFormat="1" ht="32.25" thickBot="1">
      <c r="A44" s="269"/>
      <c r="B44" s="140" t="s">
        <v>78</v>
      </c>
      <c r="C44" s="189">
        <f aca="true" t="shared" si="1" ref="C44:H44">SUM(C5:C43)</f>
        <v>453580.4000000001</v>
      </c>
      <c r="D44" s="189">
        <f t="shared" si="1"/>
        <v>112450.5</v>
      </c>
      <c r="E44" s="189">
        <f t="shared" si="1"/>
        <v>112427.99999999997</v>
      </c>
      <c r="F44" s="149">
        <f t="shared" si="1"/>
        <v>5999.0999999999985</v>
      </c>
      <c r="G44" s="189">
        <f t="shared" si="1"/>
        <v>684457.9999999999</v>
      </c>
      <c r="H44" s="189"/>
      <c r="I44" s="263"/>
      <c r="J44" s="263"/>
      <c r="K44" s="264"/>
      <c r="L44" s="263"/>
      <c r="M44" s="262"/>
      <c r="N44" s="262"/>
    </row>
    <row r="45" spans="1:14" s="104" customFormat="1" ht="18" customHeight="1">
      <c r="A45" s="145"/>
      <c r="B45" s="146"/>
      <c r="H45" s="105"/>
      <c r="I45" s="105"/>
      <c r="J45" s="105"/>
      <c r="K45" s="105"/>
      <c r="L45" s="105"/>
      <c r="M45" s="105"/>
      <c r="N45" s="105"/>
    </row>
    <row r="46" spans="1:14" s="104" customFormat="1" ht="15.75">
      <c r="A46" s="150"/>
      <c r="B46" s="151"/>
      <c r="D46" s="149"/>
      <c r="F46" s="244"/>
      <c r="H46" s="105"/>
      <c r="I46" s="263"/>
      <c r="J46" s="105"/>
      <c r="K46" s="105"/>
      <c r="L46" s="105"/>
      <c r="M46" s="105"/>
      <c r="N46" s="105"/>
    </row>
    <row r="47" spans="1:14" s="104" customFormat="1" ht="15.75">
      <c r="A47" s="150"/>
      <c r="B47" s="151"/>
      <c r="C47" s="244"/>
      <c r="E47" s="244"/>
      <c r="H47" s="105"/>
      <c r="I47" s="105"/>
      <c r="J47" s="105"/>
      <c r="K47" s="105"/>
      <c r="L47" s="105"/>
      <c r="M47" s="105"/>
      <c r="N47" s="105"/>
    </row>
    <row r="48" spans="1:14" s="104" customFormat="1" ht="15.75">
      <c r="A48" s="150"/>
      <c r="B48" s="151"/>
      <c r="G48" s="244"/>
      <c r="H48" s="105"/>
      <c r="I48" s="105"/>
      <c r="J48" s="105"/>
      <c r="K48" s="105"/>
      <c r="L48" s="105"/>
      <c r="M48" s="105"/>
      <c r="N48" s="105"/>
    </row>
    <row r="49" spans="1:14" s="104" customFormat="1" ht="15.75">
      <c r="A49" s="150"/>
      <c r="B49" s="151"/>
      <c r="H49" s="105"/>
      <c r="I49" s="105"/>
      <c r="J49" s="105"/>
      <c r="K49" s="105"/>
      <c r="L49" s="105"/>
      <c r="M49" s="105"/>
      <c r="N49" s="105"/>
    </row>
    <row r="50" spans="1:14" s="104" customFormat="1" ht="15.75">
      <c r="A50" s="150"/>
      <c r="B50" s="153"/>
      <c r="H50" s="105"/>
      <c r="I50" s="105"/>
      <c r="J50" s="105"/>
      <c r="K50" s="105"/>
      <c r="L50" s="105"/>
      <c r="M50" s="105"/>
      <c r="N50" s="105"/>
    </row>
    <row r="51" spans="1:14" s="104" customFormat="1" ht="15.75">
      <c r="A51" s="150"/>
      <c r="B51" s="153"/>
      <c r="H51" s="105"/>
      <c r="I51" s="105"/>
      <c r="J51" s="105"/>
      <c r="K51" s="105"/>
      <c r="L51" s="105"/>
      <c r="M51" s="105"/>
      <c r="N51" s="105"/>
    </row>
    <row r="52" spans="1:14" s="104" customFormat="1" ht="16.5" customHeight="1">
      <c r="A52" s="150"/>
      <c r="B52" s="151"/>
      <c r="H52" s="105"/>
      <c r="I52" s="105"/>
      <c r="J52" s="105"/>
      <c r="K52" s="105"/>
      <c r="L52" s="105"/>
      <c r="M52" s="105"/>
      <c r="N52" s="105"/>
    </row>
    <row r="53" spans="1:14" s="104" customFormat="1" ht="15.75">
      <c r="A53" s="150"/>
      <c r="B53" s="151"/>
      <c r="H53" s="105"/>
      <c r="I53" s="105"/>
      <c r="J53" s="105"/>
      <c r="K53" s="105"/>
      <c r="L53" s="105"/>
      <c r="M53" s="105"/>
      <c r="N53" s="105"/>
    </row>
    <row r="54" spans="1:14" s="104" customFormat="1" ht="15.75">
      <c r="A54" s="150"/>
      <c r="B54" s="151"/>
      <c r="H54" s="105"/>
      <c r="I54" s="105"/>
      <c r="J54" s="105"/>
      <c r="K54" s="105"/>
      <c r="L54" s="105"/>
      <c r="M54" s="105"/>
      <c r="N54" s="105"/>
    </row>
    <row r="55" spans="1:14" s="104" customFormat="1" ht="15.75">
      <c r="A55" s="150"/>
      <c r="B55" s="151"/>
      <c r="H55" s="105"/>
      <c r="I55" s="105"/>
      <c r="J55" s="105"/>
      <c r="K55" s="105"/>
      <c r="L55" s="105"/>
      <c r="M55" s="105"/>
      <c r="N55" s="105"/>
    </row>
    <row r="56" spans="1:14" s="104" customFormat="1" ht="15.75">
      <c r="A56" s="150"/>
      <c r="B56" s="151"/>
      <c r="H56" s="105"/>
      <c r="I56" s="105"/>
      <c r="J56" s="105"/>
      <c r="K56" s="105"/>
      <c r="L56" s="105"/>
      <c r="M56" s="105"/>
      <c r="N56" s="105"/>
    </row>
    <row r="57" spans="1:14" s="104" customFormat="1" ht="15.75">
      <c r="A57" s="150"/>
      <c r="B57" s="151"/>
      <c r="H57" s="105"/>
      <c r="I57" s="105"/>
      <c r="J57" s="105"/>
      <c r="K57" s="105"/>
      <c r="L57" s="105"/>
      <c r="M57" s="105"/>
      <c r="N57" s="105"/>
    </row>
    <row r="58" spans="1:14" s="104" customFormat="1" ht="15.75">
      <c r="A58" s="150"/>
      <c r="B58" s="154"/>
      <c r="H58" s="105"/>
      <c r="I58" s="105"/>
      <c r="J58" s="105"/>
      <c r="K58" s="105"/>
      <c r="L58" s="105"/>
      <c r="M58" s="105"/>
      <c r="N58" s="105"/>
    </row>
    <row r="59" spans="1:14" s="157" customFormat="1" ht="16.5" customHeight="1">
      <c r="A59" s="283"/>
      <c r="B59" s="283"/>
      <c r="H59" s="158"/>
      <c r="I59" s="158"/>
      <c r="J59" s="158"/>
      <c r="K59" s="158"/>
      <c r="L59" s="158"/>
      <c r="M59" s="158"/>
      <c r="N59" s="158"/>
    </row>
    <row r="60" spans="1:2" ht="15.75">
      <c r="A60" s="150"/>
      <c r="B60" s="153"/>
    </row>
    <row r="61" spans="1:2" ht="15.75">
      <c r="A61" s="150"/>
      <c r="B61" s="153"/>
    </row>
    <row r="62" spans="1:2" ht="15.75">
      <c r="A62" s="150"/>
      <c r="B62" s="153"/>
    </row>
    <row r="63" spans="1:2" ht="15.75">
      <c r="A63" s="150"/>
      <c r="B63" s="153"/>
    </row>
    <row r="64" spans="1:2" ht="18" customHeight="1">
      <c r="A64" s="150"/>
      <c r="B64" s="153"/>
    </row>
    <row r="65" spans="1:2" ht="15.75">
      <c r="A65" s="150"/>
      <c r="B65" s="153"/>
    </row>
    <row r="66" spans="1:2" ht="15.75">
      <c r="A66" s="150"/>
      <c r="B66" s="153"/>
    </row>
    <row r="67" spans="1:2" ht="15.75">
      <c r="A67" s="150"/>
      <c r="B67" s="153"/>
    </row>
    <row r="68" spans="1:2" ht="15.75">
      <c r="A68" s="150"/>
      <c r="B68" s="153"/>
    </row>
    <row r="69" spans="1:2" ht="15.75">
      <c r="A69" s="150"/>
      <c r="B69" s="153"/>
    </row>
    <row r="70" spans="1:2" ht="15.75">
      <c r="A70" s="150"/>
      <c r="B70" s="151"/>
    </row>
    <row r="71" spans="1:2" ht="15.75">
      <c r="A71" s="150"/>
      <c r="B71" s="151"/>
    </row>
    <row r="72" spans="1:2" ht="15.75">
      <c r="A72" s="150"/>
      <c r="B72" s="151"/>
    </row>
    <row r="73" spans="1:2" ht="15.75">
      <c r="A73" s="150"/>
      <c r="B73" s="151"/>
    </row>
    <row r="74" spans="1:2" ht="15.75">
      <c r="A74" s="150"/>
      <c r="B74" s="151"/>
    </row>
    <row r="75" spans="1:2" ht="15.75">
      <c r="A75" s="150"/>
      <c r="B75" s="151"/>
    </row>
    <row r="76" spans="1:2" ht="15.75">
      <c r="A76" s="150"/>
      <c r="B76" s="151"/>
    </row>
    <row r="77" spans="1:2" ht="15.75">
      <c r="A77" s="150"/>
      <c r="B77" s="151"/>
    </row>
    <row r="78" spans="1:2" ht="15.75">
      <c r="A78" s="150"/>
      <c r="B78" s="151"/>
    </row>
    <row r="79" spans="1:2" ht="15.75">
      <c r="A79" s="150"/>
      <c r="B79" s="151"/>
    </row>
    <row r="80" spans="1:2" ht="15.75">
      <c r="A80" s="150"/>
      <c r="B80" s="151"/>
    </row>
    <row r="81" spans="1:2" ht="15.75">
      <c r="A81" s="150"/>
      <c r="B81" s="151"/>
    </row>
    <row r="82" spans="1:2" ht="15.75">
      <c r="A82" s="150"/>
      <c r="B82" s="151"/>
    </row>
    <row r="83" spans="1:2" ht="15.75">
      <c r="A83" s="150"/>
      <c r="B83" s="151"/>
    </row>
    <row r="84" spans="1:2" ht="15.75">
      <c r="A84" s="150"/>
      <c r="B84" s="151"/>
    </row>
    <row r="85" spans="1:2" ht="15.75">
      <c r="A85" s="150"/>
      <c r="B85" s="151"/>
    </row>
    <row r="86" spans="1:2" ht="15.75">
      <c r="A86" s="150"/>
      <c r="B86" s="151"/>
    </row>
    <row r="87" spans="1:2" ht="15.75">
      <c r="A87" s="150"/>
      <c r="B87" s="151"/>
    </row>
    <row r="88" spans="1:2" ht="15.75">
      <c r="A88" s="150"/>
      <c r="B88" s="151"/>
    </row>
    <row r="89" spans="1:2" ht="15.75">
      <c r="A89" s="150"/>
      <c r="B89" s="151"/>
    </row>
    <row r="90" spans="1:2" ht="15.75">
      <c r="A90" s="150"/>
      <c r="B90" s="151"/>
    </row>
    <row r="91" spans="1:2" ht="15.75">
      <c r="A91" s="150"/>
      <c r="B91" s="151"/>
    </row>
    <row r="92" spans="1:2" ht="15.75">
      <c r="A92" s="150"/>
      <c r="B92" s="151"/>
    </row>
    <row r="93" spans="1:2" ht="15.75">
      <c r="A93" s="150"/>
      <c r="B93" s="151"/>
    </row>
    <row r="94" spans="1:2" ht="15.75">
      <c r="A94" s="150"/>
      <c r="B94" s="151"/>
    </row>
    <row r="95" spans="1:2" ht="15.75">
      <c r="A95" s="150"/>
      <c r="B95" s="151"/>
    </row>
    <row r="96" spans="1:2" ht="15.75">
      <c r="A96" s="150"/>
      <c r="B96" s="151"/>
    </row>
    <row r="97" spans="1:2" ht="15.75">
      <c r="A97" s="150"/>
      <c r="B97" s="151"/>
    </row>
    <row r="98" spans="1:2" ht="15.75">
      <c r="A98" s="150"/>
      <c r="B98" s="151"/>
    </row>
    <row r="99" spans="1:2" ht="15.75">
      <c r="A99" s="150"/>
      <c r="B99" s="151"/>
    </row>
    <row r="100" spans="1:2" ht="15.75">
      <c r="A100" s="150"/>
      <c r="B100" s="151"/>
    </row>
    <row r="101" spans="1:2" ht="15.75">
      <c r="A101" s="150"/>
      <c r="B101" s="151"/>
    </row>
    <row r="102" spans="1:2" ht="15.75">
      <c r="A102" s="150"/>
      <c r="B102" s="151"/>
    </row>
    <row r="103" spans="1:2" ht="15.75">
      <c r="A103" s="150"/>
      <c r="B103" s="151"/>
    </row>
    <row r="104" spans="1:2" ht="15.75">
      <c r="A104" s="161"/>
      <c r="B104" s="162"/>
    </row>
    <row r="105" spans="1:2" ht="18.75">
      <c r="A105" s="163"/>
      <c r="B105" s="163"/>
    </row>
    <row r="106" spans="1:2" ht="12.75">
      <c r="A106" s="161"/>
      <c r="B106" s="161"/>
    </row>
  </sheetData>
  <sheetProtection/>
  <mergeCells count="10">
    <mergeCell ref="E3:E4"/>
    <mergeCell ref="F3:F4"/>
    <mergeCell ref="G3:G4"/>
    <mergeCell ref="A59:B59"/>
    <mergeCell ref="A1:B1"/>
    <mergeCell ref="A3:A4"/>
    <mergeCell ref="B3:B4"/>
    <mergeCell ref="C3:C4"/>
    <mergeCell ref="D3:D4"/>
    <mergeCell ref="E1:G1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2018-07-10T13:40:15Z</cp:lastPrinted>
  <dcterms:created xsi:type="dcterms:W3CDTF">2005-01-25T12:19:56Z</dcterms:created>
  <dcterms:modified xsi:type="dcterms:W3CDTF">2018-08-17T13:24:13Z</dcterms:modified>
  <cp:category/>
  <cp:version/>
  <cp:contentType/>
  <cp:contentStatus/>
</cp:coreProperties>
</file>