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12120" windowHeight="7575" firstSheet="1" activeTab="6"/>
  </bookViews>
  <sheets>
    <sheet name="Школы-началка" sheetId="1" r:id="rId1"/>
    <sheet name="Школы-основная" sheetId="2" r:id="rId2"/>
    <sheet name="Школы-средняя" sheetId="3" r:id="rId3"/>
    <sheet name="Допобразование" sheetId="4" r:id="rId4"/>
    <sheet name="Коррекция" sheetId="5" r:id="rId5"/>
    <sheet name="ППК" sheetId="6" r:id="rId6"/>
    <sheet name="Работы" sheetId="7" r:id="rId7"/>
  </sheets>
  <definedNames>
    <definedName name="_xlnm.Print_Titles" localSheetId="3">'Допобразование'!$A:$B,'Допобразование'!$3:$6</definedName>
    <definedName name="_xlnm.Print_Titles" localSheetId="4">'Коррекция'!$A:$B,'Коррекция'!$3:$6</definedName>
    <definedName name="_xlnm.Print_Titles" localSheetId="5">'ППК'!$A:$B,'ППК'!$3:$5</definedName>
    <definedName name="_xlnm.Print_Titles" localSheetId="0">'Школы-началка'!$A:$B,'Школы-началка'!$3:$6</definedName>
    <definedName name="_xlnm.Print_Titles" localSheetId="1">'Школы-основная'!$A:$B,'Школы-основная'!$3:$6</definedName>
    <definedName name="_xlnm.Print_Titles" localSheetId="2">'Школы-средняя'!$A:$B,'Школы-средняя'!$3:$6</definedName>
    <definedName name="_xlnm.Print_Area" localSheetId="3">'Допобразование'!$A$1:$J$46</definedName>
    <definedName name="_xlnm.Print_Area" localSheetId="4">'Коррекция'!$A$1:$E$46</definedName>
    <definedName name="_xlnm.Print_Area" localSheetId="5">'ППК'!$A$1:$E$45</definedName>
    <definedName name="_xlnm.Print_Area" localSheetId="6">'Работы'!$A$1:$F$45</definedName>
    <definedName name="_xlnm.Print_Area" localSheetId="0">'Школы-началка'!$A$1:$AE$47</definedName>
    <definedName name="_xlnm.Print_Area" localSheetId="1">'Школы-основная'!$A$1:$AH$47</definedName>
    <definedName name="_xlnm.Print_Area" localSheetId="2">'Школы-средняя'!$A$1:$AB$47</definedName>
  </definedNames>
  <calcPr fullCalcOnLoad="1"/>
</workbook>
</file>

<file path=xl/sharedStrings.xml><?xml version="1.0" encoding="utf-8"?>
<sst xmlns="http://schemas.openxmlformats.org/spreadsheetml/2006/main" count="540" uniqueCount="94">
  <si>
    <t>СОШ №1</t>
  </si>
  <si>
    <t>СОШ №3</t>
  </si>
  <si>
    <t>СОШ №4</t>
  </si>
  <si>
    <t>СОШ №5</t>
  </si>
  <si>
    <t>СОШ №6</t>
  </si>
  <si>
    <t>СОШ №17</t>
  </si>
  <si>
    <t>Богатовская ООШ</t>
  </si>
  <si>
    <t>СОШ №9</t>
  </si>
  <si>
    <t>СОШ №10</t>
  </si>
  <si>
    <t>СОШ №11</t>
  </si>
  <si>
    <t>СОШ №12</t>
  </si>
  <si>
    <t>ООШ №2</t>
  </si>
  <si>
    <t>СОШ №14</t>
  </si>
  <si>
    <t>СОШ №15</t>
  </si>
  <si>
    <t>ООШ №3</t>
  </si>
  <si>
    <t>ООШ №4</t>
  </si>
  <si>
    <t>СОШ №7</t>
  </si>
  <si>
    <t>СОШ №8</t>
  </si>
  <si>
    <t>Апанасовская СОШ</t>
  </si>
  <si>
    <t>Богураевская СОШ</t>
  </si>
  <si>
    <t>Чапаевская СОШ</t>
  </si>
  <si>
    <t>Какичевская ООШ</t>
  </si>
  <si>
    <t>Головская ООШ</t>
  </si>
  <si>
    <t>Грушевская СОШ</t>
  </si>
  <si>
    <t>Голубинская СОШ</t>
  </si>
  <si>
    <t>Поцелуевская ООШ</t>
  </si>
  <si>
    <t>Ильинская СОШ</t>
  </si>
  <si>
    <t>Процико-Березовская ООШ</t>
  </si>
  <si>
    <t>Краснодонецкая СОШ</t>
  </si>
  <si>
    <t>Крутинская СОШ</t>
  </si>
  <si>
    <t>Погореловская ООШ</t>
  </si>
  <si>
    <t>Ленинская СОШ</t>
  </si>
  <si>
    <t>Литвиновская СОШ</t>
  </si>
  <si>
    <t>Сосновская СОШ</t>
  </si>
  <si>
    <t>Нижнепоповская ООШ</t>
  </si>
  <si>
    <t>Нижнесеребряковская ООШ</t>
  </si>
  <si>
    <t>Насонтовская ООШ</t>
  </si>
  <si>
    <t>№п/п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</si>
  <si>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</si>
  <si>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</si>
  <si>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</si>
  <si>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адаптированная образовательная программ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</si>
  <si>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</si>
  <si>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</si>
  <si>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</si>
  <si>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реализация дополнительных общеразвивающих программ</t>
  </si>
  <si>
    <t>обучающиеся</t>
  </si>
  <si>
    <t>естественно-научное направление, чел-час</t>
  </si>
  <si>
    <t>туристко-краеведческое направление, чел-час</t>
  </si>
  <si>
    <t>физкультурно-спортивное направление, чел-час</t>
  </si>
  <si>
    <t>социально-педагогическое направление, чел-час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</si>
  <si>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</si>
  <si>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реализация коррекционно-развивающей, компенсирующей и логопедической помощи</t>
  </si>
  <si>
    <t>основная образовательная программ</t>
  </si>
  <si>
    <t>техническое (научно-техническое) направление, чел-час</t>
  </si>
  <si>
    <t>художественное (художественно-эстетическое) направление, чел-час</t>
  </si>
  <si>
    <t>обучающиеся с ОВЗ на дому</t>
  </si>
  <si>
    <t>профильное обучение</t>
  </si>
  <si>
    <t>дети-инвалиды на дому</t>
  </si>
  <si>
    <t>НШ  №1</t>
  </si>
  <si>
    <t>СОШ №2</t>
  </si>
  <si>
    <t>Нормативы затрат на оказание муниципальных услуг  в части затра на оплату труда,    руб.</t>
  </si>
  <si>
    <t>Всего</t>
  </si>
  <si>
    <t>основная образовательная программ-профильное обучение</t>
  </si>
  <si>
    <t>город</t>
  </si>
  <si>
    <t>село</t>
  </si>
  <si>
    <t>Наименование и объём работы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</si>
  <si>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(научно-иссследовательской) деятельности, творческой деятельности, физкультурно-спортивной деятельности</t>
  </si>
  <si>
    <t>количество мероприятий</t>
  </si>
  <si>
    <t>количество участников мероприятий</t>
  </si>
  <si>
    <t>Нормативы затрат на оказание муниципальных услуг  в части затрат на оплату труда,    руб.</t>
  </si>
  <si>
    <t>по максимальному объёму-СОШ-9</t>
  </si>
  <si>
    <t>чел.</t>
  </si>
  <si>
    <t>Потребители муниципальной услуги</t>
  </si>
  <si>
    <t>Наименование общеобразовательной организации</t>
  </si>
  <si>
    <t>Режим работы, количество дней работы в неделю</t>
  </si>
  <si>
    <t>Наименование и объём  муниципальной услуги</t>
  </si>
  <si>
    <t>Итого общеобразовательные организации</t>
  </si>
  <si>
    <t>Отраслевые  корректирующие коэффициенты затрат, непосредственно связанных с оказанием муниципальных услуг, учитывающие среднюю фактическую наполняемость классов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</si>
  <si>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предалах бюджетных ассигнованиий, предусмотренных Отделу образования</t>
  </si>
  <si>
    <t>Финансовое обеспечение  муниципальных услуг  в части затрат на оплату труда,  тыс. руб.</t>
  </si>
  <si>
    <t>№ п/п</t>
  </si>
  <si>
    <t>Финансовое обеспечение  муниципальных услуг  в части затрат на оплату труда,    тыс. руб.</t>
  </si>
  <si>
    <t>Наименование и объем муниципальной услуги</t>
  </si>
  <si>
    <t>Финансовое обеспечение  муниципальных услуг  в части затра на оплату труда,    тыс. руб.</t>
  </si>
  <si>
    <t>Нормативы затрат на выполнене работ  в части затрат на оплату труда,    руб.</t>
  </si>
  <si>
    <t>Финансовое обеспечение  выполнения работ  в части затрат на оплату труда,  тыс. руб.</t>
  </si>
  <si>
    <t>Приложение №99</t>
  </si>
  <si>
    <t>Приложение №100</t>
  </si>
  <si>
    <t>Приложение №101</t>
  </si>
  <si>
    <t>Приложение №102</t>
  </si>
  <si>
    <t>Приложение №103</t>
  </si>
  <si>
    <t>Приложение №104</t>
  </si>
  <si>
    <t>Приложение №105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</si>
</sst>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2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8" fillId="33" borderId="10" xfId="54" applyFont="1" applyFill="1" applyBorder="1">
      <alignment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1" xfId="54" applyFont="1" applyFill="1" applyBorder="1" applyAlignment="1">
      <alignment horizontal="center" vertical="top" wrapText="1"/>
      <protection/>
    </xf>
    <xf numFmtId="3" fontId="10" fillId="33" borderId="12" xfId="54" applyNumberFormat="1" applyFont="1" applyFill="1" applyBorder="1" applyAlignment="1">
      <alignment horizontal="center"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2" fontId="7" fillId="33" borderId="14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4" xfId="54" applyNumberFormat="1" applyFont="1" applyFill="1" applyBorder="1" applyAlignment="1">
      <alignment horizontal="center" vertical="top" wrapText="1"/>
      <protection/>
    </xf>
    <xf numFmtId="3" fontId="8" fillId="33" borderId="0" xfId="54" applyNumberFormat="1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left"/>
      <protection/>
    </xf>
    <xf numFmtId="0" fontId="11" fillId="33" borderId="16" xfId="54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left"/>
      <protection/>
    </xf>
    <xf numFmtId="0" fontId="12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5" fillId="33" borderId="10" xfId="54" applyFont="1" applyFill="1" applyBorder="1" applyAlignment="1">
      <alignment vertical="top"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5" fillId="33" borderId="10" xfId="54" applyFont="1" applyFill="1" applyBorder="1" applyAlignment="1">
      <alignment wrapText="1"/>
      <protection/>
    </xf>
    <xf numFmtId="1" fontId="11" fillId="33" borderId="16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Alignment="1">
      <alignment/>
      <protection/>
    </xf>
    <xf numFmtId="0" fontId="11" fillId="33" borderId="16" xfId="54" applyFont="1" applyFill="1" applyBorder="1" applyAlignment="1">
      <alignment horizontal="center" wrapText="1"/>
      <protection/>
    </xf>
    <xf numFmtId="1" fontId="11" fillId="33" borderId="17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Alignment="1">
      <alignment wrapText="1"/>
      <protection/>
    </xf>
    <xf numFmtId="3" fontId="11" fillId="33" borderId="16" xfId="54" applyNumberFormat="1" applyFont="1" applyFill="1" applyBorder="1" applyAlignment="1">
      <alignment horizontal="center"/>
      <protection/>
    </xf>
    <xf numFmtId="0" fontId="5" fillId="33" borderId="18" xfId="54" applyFont="1" applyFill="1" applyBorder="1" applyAlignment="1">
      <alignment vertical="top"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5" fillId="33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5" fillId="33" borderId="10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0" fontId="5" fillId="33" borderId="18" xfId="54" applyFont="1" applyFill="1" applyBorder="1" applyAlignment="1">
      <alignment wrapText="1"/>
      <protection/>
    </xf>
    <xf numFmtId="0" fontId="5" fillId="33" borderId="11" xfId="54" applyFont="1" applyFill="1" applyBorder="1" applyAlignment="1">
      <alignment horizontal="center" wrapText="1"/>
      <protection/>
    </xf>
    <xf numFmtId="0" fontId="7" fillId="33" borderId="12" xfId="54" applyFont="1" applyFill="1" applyBorder="1" applyAlignment="1">
      <alignment wrapText="1"/>
      <protection/>
    </xf>
    <xf numFmtId="3" fontId="10" fillId="33" borderId="12" xfId="54" applyNumberFormat="1" applyFont="1" applyFill="1" applyBorder="1" applyAlignment="1">
      <alignment horizontal="center" wrapText="1"/>
      <protection/>
    </xf>
    <xf numFmtId="3" fontId="10" fillId="33" borderId="19" xfId="54" applyNumberFormat="1" applyFont="1" applyFill="1" applyBorder="1" applyAlignment="1">
      <alignment horizontal="center" wrapText="1"/>
      <protection/>
    </xf>
    <xf numFmtId="180" fontId="8" fillId="33" borderId="10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0" xfId="54" applyNumberFormat="1" applyFont="1" applyFill="1">
      <alignment/>
      <protection/>
    </xf>
    <xf numFmtId="3" fontId="10" fillId="33" borderId="19" xfId="54" applyNumberFormat="1" applyFont="1" applyFill="1" applyBorder="1" applyAlignment="1">
      <alignment horizontal="center" vertical="top" wrapText="1"/>
      <protection/>
    </xf>
    <xf numFmtId="180" fontId="8" fillId="33" borderId="10" xfId="54" applyNumberFormat="1" applyFont="1" applyFill="1" applyBorder="1" applyAlignment="1">
      <alignment horizontal="center"/>
      <protection/>
    </xf>
    <xf numFmtId="4" fontId="8" fillId="33" borderId="0" xfId="54" applyNumberFormat="1" applyFont="1" applyFill="1" applyAlignment="1">
      <alignment horizontal="center"/>
      <protection/>
    </xf>
    <xf numFmtId="0" fontId="8" fillId="33" borderId="10" xfId="54" applyFont="1" applyFill="1" applyBorder="1" applyAlignment="1">
      <alignment horizontal="center"/>
      <protection/>
    </xf>
    <xf numFmtId="0" fontId="8" fillId="33" borderId="0" xfId="54" applyFont="1" applyFill="1" applyAlignment="1">
      <alignment horizontal="center"/>
      <protection/>
    </xf>
    <xf numFmtId="3" fontId="8" fillId="33" borderId="0" xfId="54" applyNumberFormat="1" applyFont="1" applyFill="1" applyAlignment="1">
      <alignment horizontal="center"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1" fontId="8" fillId="33" borderId="0" xfId="54" applyNumberFormat="1" applyFont="1" applyFill="1" applyAlignment="1">
      <alignment horizontal="center"/>
      <protection/>
    </xf>
    <xf numFmtId="180" fontId="8" fillId="33" borderId="16" xfId="54" applyNumberFormat="1" applyFont="1" applyFill="1" applyBorder="1" applyAlignment="1">
      <alignment horizontal="center"/>
      <protection/>
    </xf>
    <xf numFmtId="1" fontId="11" fillId="33" borderId="10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1" fontId="11" fillId="34" borderId="16" xfId="33" applyNumberFormat="1" applyFont="1" applyFill="1" applyBorder="1" applyAlignment="1">
      <alignment horizontal="center" wrapText="1"/>
      <protection/>
    </xf>
    <xf numFmtId="3" fontId="8" fillId="33" borderId="0" xfId="54" applyNumberFormat="1" applyFont="1" applyFill="1" applyBorder="1" applyAlignment="1">
      <alignment wrapText="1"/>
      <protection/>
    </xf>
    <xf numFmtId="3" fontId="11" fillId="33" borderId="20" xfId="54" applyNumberFormat="1" applyFont="1" applyFill="1" applyBorder="1" applyAlignment="1">
      <alignment horizontal="center"/>
      <protection/>
    </xf>
    <xf numFmtId="0" fontId="0" fillId="33" borderId="0" xfId="54" applyFont="1" applyFill="1">
      <alignment/>
      <protection/>
    </xf>
    <xf numFmtId="3" fontId="10" fillId="33" borderId="21" xfId="54" applyNumberFormat="1" applyFont="1" applyFill="1" applyBorder="1" applyAlignment="1">
      <alignment horizontal="center"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182" fontId="11" fillId="33" borderId="16" xfId="54" applyNumberFormat="1" applyFont="1" applyFill="1" applyBorder="1" applyAlignment="1">
      <alignment horizontal="center" wrapText="1"/>
      <protection/>
    </xf>
    <xf numFmtId="3" fontId="10" fillId="33" borderId="10" xfId="54" applyNumberFormat="1" applyFont="1" applyFill="1" applyBorder="1" applyAlignment="1">
      <alignment horizontal="center" wrapText="1"/>
      <protection/>
    </xf>
    <xf numFmtId="0" fontId="51" fillId="33" borderId="15" xfId="54" applyFont="1" applyFill="1" applyBorder="1" applyAlignment="1">
      <alignment horizontal="center" wrapText="1"/>
      <protection/>
    </xf>
    <xf numFmtId="2" fontId="7" fillId="33" borderId="18" xfId="54" applyNumberFormat="1" applyFont="1" applyFill="1" applyBorder="1" applyAlignment="1">
      <alignment wrapText="1"/>
      <protection/>
    </xf>
    <xf numFmtId="176" fontId="11" fillId="33" borderId="17" xfId="54" applyNumberFormat="1" applyFont="1" applyFill="1" applyBorder="1" applyAlignment="1">
      <alignment horizontal="center" wrapText="1"/>
      <protection/>
    </xf>
    <xf numFmtId="0" fontId="11" fillId="33" borderId="0" xfId="54" applyFont="1" applyFill="1" applyBorder="1">
      <alignment/>
      <protection/>
    </xf>
    <xf numFmtId="0" fontId="11" fillId="33" borderId="0" xfId="54" applyFont="1" applyFill="1">
      <alignment/>
      <protection/>
    </xf>
    <xf numFmtId="177" fontId="13" fillId="33" borderId="22" xfId="54" applyNumberFormat="1" applyFont="1" applyFill="1" applyBorder="1" applyAlignment="1">
      <alignment horizontal="center" vertical="center" wrapText="1"/>
      <protection/>
    </xf>
    <xf numFmtId="177" fontId="13" fillId="33" borderId="10" xfId="54" applyNumberFormat="1" applyFont="1" applyFill="1" applyBorder="1" applyAlignment="1">
      <alignment horizontal="center" vertical="center" wrapText="1"/>
      <protection/>
    </xf>
    <xf numFmtId="177" fontId="13" fillId="33" borderId="17" xfId="54" applyNumberFormat="1" applyFont="1" applyFill="1" applyBorder="1" applyAlignment="1">
      <alignment horizontal="center" vertical="center" wrapText="1"/>
      <protection/>
    </xf>
    <xf numFmtId="177" fontId="13" fillId="33" borderId="15" xfId="54" applyNumberFormat="1" applyFont="1" applyFill="1" applyBorder="1" applyAlignment="1">
      <alignment horizontal="center" vertical="center" wrapText="1"/>
      <protection/>
    </xf>
    <xf numFmtId="177" fontId="13" fillId="33" borderId="23" xfId="54" applyNumberFormat="1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177" fontId="13" fillId="33" borderId="18" xfId="54" applyNumberFormat="1" applyFont="1" applyFill="1" applyBorder="1" applyAlignment="1">
      <alignment horizontal="center" vertical="center" wrapText="1"/>
      <protection/>
    </xf>
    <xf numFmtId="0" fontId="13" fillId="33" borderId="16" xfId="54" applyFont="1" applyFill="1" applyBorder="1" applyAlignment="1">
      <alignment horizontal="center" vertical="center" wrapText="1"/>
      <protection/>
    </xf>
    <xf numFmtId="180" fontId="52" fillId="33" borderId="10" xfId="54" applyNumberFormat="1" applyFont="1" applyFill="1" applyBorder="1" applyAlignment="1">
      <alignment horizontal="center"/>
      <protection/>
    </xf>
    <xf numFmtId="3" fontId="10" fillId="33" borderId="24" xfId="54" applyNumberFormat="1" applyFont="1" applyFill="1" applyBorder="1" applyAlignment="1">
      <alignment horizontal="center" wrapText="1"/>
      <protection/>
    </xf>
    <xf numFmtId="180" fontId="10" fillId="33" borderId="24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>
      <alignment/>
      <protection/>
    </xf>
    <xf numFmtId="3" fontId="8" fillId="33" borderId="0" xfId="54" applyNumberFormat="1" applyFont="1" applyFill="1">
      <alignment/>
      <protection/>
    </xf>
    <xf numFmtId="0" fontId="4" fillId="33" borderId="0" xfId="54" applyFont="1" applyFill="1" applyAlignment="1">
      <alignment horizontal="center"/>
      <protection/>
    </xf>
    <xf numFmtId="177" fontId="11" fillId="33" borderId="25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1" fillId="33" borderId="22" xfId="54" applyNumberFormat="1" applyFont="1" applyFill="1" applyBorder="1" applyAlignment="1">
      <alignment horizontal="center" vertical="center" wrapText="1"/>
      <protection/>
    </xf>
    <xf numFmtId="180" fontId="11" fillId="33" borderId="10" xfId="0" applyNumberFormat="1" applyFont="1" applyFill="1" applyBorder="1" applyAlignment="1">
      <alignment horizontal="center" vertical="center" wrapText="1"/>
    </xf>
    <xf numFmtId="177" fontId="11" fillId="33" borderId="10" xfId="54" applyNumberFormat="1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/>
      <protection/>
    </xf>
    <xf numFmtId="180" fontId="11" fillId="33" borderId="10" xfId="0" applyNumberFormat="1" applyFont="1" applyFill="1" applyBorder="1" applyAlignment="1">
      <alignment horizontal="center" vertical="center" wrapText="1"/>
    </xf>
    <xf numFmtId="177" fontId="11" fillId="33" borderId="10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177" fontId="11" fillId="33" borderId="23" xfId="54" applyNumberFormat="1" applyFont="1" applyFill="1" applyBorder="1" applyAlignment="1">
      <alignment horizontal="center" vertical="center" wrapText="1"/>
      <protection/>
    </xf>
    <xf numFmtId="177" fontId="11" fillId="33" borderId="22" xfId="54" applyNumberFormat="1" applyFont="1" applyFill="1" applyBorder="1" applyAlignment="1">
      <alignment horizontal="center" vertical="center" wrapText="1"/>
      <protection/>
    </xf>
    <xf numFmtId="177" fontId="13" fillId="33" borderId="16" xfId="54" applyNumberFormat="1" applyFont="1" applyFill="1" applyBorder="1" applyAlignment="1">
      <alignment horizontal="center" vertical="center" wrapText="1"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3" fontId="11" fillId="33" borderId="17" xfId="54" applyNumberFormat="1" applyFont="1" applyFill="1" applyBorder="1" applyAlignment="1">
      <alignment horizontal="center" wrapText="1"/>
      <protection/>
    </xf>
    <xf numFmtId="3" fontId="11" fillId="33" borderId="16" xfId="54" applyNumberFormat="1" applyFont="1" applyFill="1" applyBorder="1" applyAlignment="1">
      <alignment horizontal="center" wrapText="1"/>
      <protection/>
    </xf>
    <xf numFmtId="1" fontId="11" fillId="34" borderId="10" xfId="33" applyNumberFormat="1" applyFont="1" applyFill="1" applyBorder="1" applyAlignment="1">
      <alignment horizontal="center" wrapText="1"/>
      <protection/>
    </xf>
    <xf numFmtId="177" fontId="11" fillId="33" borderId="10" xfId="54" applyNumberFormat="1" applyFont="1" applyFill="1" applyBorder="1" applyAlignment="1">
      <alignment horizontal="center" wrapText="1"/>
      <protection/>
    </xf>
    <xf numFmtId="3" fontId="11" fillId="33" borderId="10" xfId="54" applyNumberFormat="1" applyFont="1" applyFill="1" applyBorder="1" applyAlignment="1">
      <alignment horizontal="center"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0" fontId="14" fillId="33" borderId="0" xfId="54" applyFont="1" applyFill="1" applyAlignment="1">
      <alignment/>
      <protection/>
    </xf>
    <xf numFmtId="1" fontId="11" fillId="34" borderId="17" xfId="33" applyNumberFormat="1" applyFont="1" applyFill="1" applyBorder="1" applyAlignment="1">
      <alignment horizontal="center" wrapText="1"/>
      <protection/>
    </xf>
    <xf numFmtId="1" fontId="11" fillId="33" borderId="10" xfId="60" applyNumberFormat="1" applyFont="1" applyFill="1" applyBorder="1" applyAlignment="1">
      <alignment horizontal="center" wrapText="1"/>
    </xf>
    <xf numFmtId="1" fontId="11" fillId="33" borderId="16" xfId="60" applyNumberFormat="1" applyFont="1" applyFill="1" applyBorder="1" applyAlignment="1">
      <alignment horizontal="center" wrapText="1"/>
    </xf>
    <xf numFmtId="0" fontId="11" fillId="33" borderId="17" xfId="54" applyFont="1" applyFill="1" applyBorder="1" applyAlignment="1">
      <alignment horizontal="center"/>
      <protection/>
    </xf>
    <xf numFmtId="0" fontId="11" fillId="33" borderId="15" xfId="54" applyFont="1" applyFill="1" applyBorder="1" applyAlignment="1">
      <alignment horizontal="center"/>
      <protection/>
    </xf>
    <xf numFmtId="1" fontId="11" fillId="33" borderId="17" xfId="54" applyNumberFormat="1" applyFont="1" applyFill="1" applyBorder="1" applyAlignment="1">
      <alignment horizontal="center"/>
      <protection/>
    </xf>
    <xf numFmtId="0" fontId="11" fillId="33" borderId="10" xfId="54" applyFont="1" applyFill="1" applyBorder="1" applyAlignment="1">
      <alignment horizontal="center"/>
      <protection/>
    </xf>
    <xf numFmtId="3" fontId="8" fillId="33" borderId="10" xfId="54" applyNumberFormat="1" applyFont="1" applyFill="1" applyBorder="1" applyAlignment="1">
      <alignment horizontal="center"/>
      <protection/>
    </xf>
    <xf numFmtId="0" fontId="11" fillId="34" borderId="16" xfId="33" applyFont="1" applyFill="1" applyBorder="1" applyAlignment="1">
      <alignment horizontal="center"/>
      <protection/>
    </xf>
    <xf numFmtId="0" fontId="11" fillId="34" borderId="10" xfId="33" applyFont="1" applyFill="1" applyBorder="1" applyAlignment="1">
      <alignment horizontal="center"/>
      <protection/>
    </xf>
    <xf numFmtId="1" fontId="11" fillId="34" borderId="17" xfId="33" applyNumberFormat="1" applyFont="1" applyFill="1" applyBorder="1" applyAlignment="1">
      <alignment horizontal="center"/>
      <protection/>
    </xf>
    <xf numFmtId="0" fontId="11" fillId="33" borderId="10" xfId="54" applyFont="1" applyFill="1" applyBorder="1" applyAlignment="1">
      <alignment horizontal="center" wrapText="1"/>
      <protection/>
    </xf>
    <xf numFmtId="1" fontId="11" fillId="33" borderId="16" xfId="54" applyNumberFormat="1" applyFont="1" applyFill="1" applyBorder="1" applyAlignment="1">
      <alignment horizontal="center" vertical="top" wrapText="1"/>
      <protection/>
    </xf>
    <xf numFmtId="3" fontId="11" fillId="33" borderId="10" xfId="54" applyNumberFormat="1" applyFont="1" applyFill="1" applyBorder="1" applyAlignment="1">
      <alignment horizontal="center"/>
      <protection/>
    </xf>
    <xf numFmtId="3" fontId="11" fillId="33" borderId="17" xfId="54" applyNumberFormat="1" applyFont="1" applyFill="1" applyBorder="1" applyAlignment="1">
      <alignment horizontal="center"/>
      <protection/>
    </xf>
    <xf numFmtId="3" fontId="11" fillId="33" borderId="18" xfId="54" applyNumberFormat="1" applyFont="1" applyFill="1" applyBorder="1" applyAlignment="1">
      <alignment horizontal="center"/>
      <protection/>
    </xf>
    <xf numFmtId="3" fontId="11" fillId="33" borderId="21" xfId="54" applyNumberFormat="1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1" fontId="8" fillId="33" borderId="10" xfId="54" applyNumberFormat="1" applyFont="1" applyFill="1" applyBorder="1" applyAlignment="1">
      <alignment horizontal="center"/>
      <protection/>
    </xf>
    <xf numFmtId="180" fontId="8" fillId="33" borderId="0" xfId="54" applyNumberFormat="1" applyFont="1" applyFill="1" applyBorder="1" applyAlignment="1">
      <alignment wrapText="1"/>
      <protection/>
    </xf>
    <xf numFmtId="177" fontId="8" fillId="33" borderId="0" xfId="54" applyNumberFormat="1" applyFont="1" applyFill="1" applyBorder="1" applyAlignment="1">
      <alignment wrapText="1"/>
      <protection/>
    </xf>
    <xf numFmtId="177" fontId="8" fillId="33" borderId="10" xfId="54" applyNumberFormat="1" applyFont="1" applyFill="1" applyBorder="1" applyAlignment="1">
      <alignment horizont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18" xfId="54" applyFont="1" applyFill="1" applyBorder="1" applyAlignment="1">
      <alignment horizontal="center" vertical="center" wrapText="1"/>
      <protection/>
    </xf>
    <xf numFmtId="0" fontId="11" fillId="33" borderId="26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1" fillId="33" borderId="16" xfId="54" applyNumberFormat="1" applyFont="1" applyFill="1" applyBorder="1" applyAlignment="1">
      <alignment horizontal="center" vertical="center" wrapText="1"/>
      <protection/>
    </xf>
    <xf numFmtId="177" fontId="11" fillId="33" borderId="27" xfId="54" applyNumberFormat="1" applyFont="1" applyFill="1" applyBorder="1" applyAlignment="1">
      <alignment horizontal="center" vertical="center" wrapText="1"/>
      <protection/>
    </xf>
    <xf numFmtId="177" fontId="11" fillId="33" borderId="25" xfId="54" applyNumberFormat="1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177" fontId="11" fillId="33" borderId="23" xfId="54" applyNumberFormat="1" applyFont="1" applyFill="1" applyBorder="1" applyAlignment="1">
      <alignment horizontal="center" vertical="center" wrapText="1"/>
      <protection/>
    </xf>
    <xf numFmtId="177" fontId="11" fillId="33" borderId="22" xfId="54" applyNumberFormat="1" applyFont="1" applyFill="1" applyBorder="1" applyAlignment="1">
      <alignment horizontal="center" vertical="center" wrapText="1"/>
      <protection/>
    </xf>
    <xf numFmtId="0" fontId="11" fillId="33" borderId="18" xfId="54" applyFont="1" applyFill="1" applyBorder="1" applyAlignment="1">
      <alignment horizontal="center" vertical="center"/>
      <protection/>
    </xf>
    <xf numFmtId="0" fontId="11" fillId="33" borderId="26" xfId="54" applyFont="1" applyFill="1" applyBorder="1" applyAlignment="1">
      <alignment horizontal="center" vertical="center"/>
      <protection/>
    </xf>
    <xf numFmtId="0" fontId="11" fillId="33" borderId="15" xfId="54" applyFont="1" applyFill="1" applyBorder="1" applyAlignment="1">
      <alignment horizontal="center" vertical="center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180" fontId="11" fillId="33" borderId="10" xfId="0" applyNumberFormat="1" applyFont="1" applyFill="1" applyBorder="1" applyAlignment="1">
      <alignment horizontal="center" vertical="center" wrapText="1"/>
    </xf>
    <xf numFmtId="177" fontId="11" fillId="33" borderId="10" xfId="54" applyNumberFormat="1" applyFont="1" applyFill="1" applyBorder="1" applyAlignment="1">
      <alignment horizontal="center" vertical="center" wrapText="1"/>
      <protection/>
    </xf>
    <xf numFmtId="180" fontId="11" fillId="33" borderId="20" xfId="0" applyNumberFormat="1" applyFont="1" applyFill="1" applyBorder="1" applyAlignment="1">
      <alignment horizontal="center" vertical="center" wrapText="1"/>
    </xf>
    <xf numFmtId="180" fontId="11" fillId="33" borderId="28" xfId="0" applyNumberFormat="1" applyFont="1" applyFill="1" applyBorder="1" applyAlignment="1">
      <alignment horizontal="center" vertical="center" wrapText="1"/>
    </xf>
    <xf numFmtId="180" fontId="11" fillId="33" borderId="29" xfId="0" applyNumberFormat="1" applyFont="1" applyFill="1" applyBorder="1" applyAlignment="1">
      <alignment horizontal="center" vertical="center" wrapText="1"/>
    </xf>
    <xf numFmtId="180" fontId="11" fillId="33" borderId="17" xfId="0" applyNumberFormat="1" applyFont="1" applyFill="1" applyBorder="1" applyAlignment="1">
      <alignment horizontal="center" vertical="center" wrapText="1"/>
    </xf>
    <xf numFmtId="180" fontId="11" fillId="33" borderId="23" xfId="0" applyNumberFormat="1" applyFont="1" applyFill="1" applyBorder="1" applyAlignment="1">
      <alignment horizontal="center" vertical="center" wrapText="1"/>
    </xf>
    <xf numFmtId="180" fontId="11" fillId="33" borderId="22" xfId="0" applyNumberFormat="1" applyFont="1" applyFill="1" applyBorder="1" applyAlignment="1">
      <alignment horizontal="center" vertical="center" wrapText="1"/>
    </xf>
    <xf numFmtId="177" fontId="13" fillId="33" borderId="16" xfId="54" applyNumberFormat="1" applyFont="1" applyFill="1" applyBorder="1" applyAlignment="1">
      <alignment horizontal="center" vertical="center" wrapText="1"/>
      <protection/>
    </xf>
    <xf numFmtId="177" fontId="13" fillId="33" borderId="27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center"/>
      <protection/>
    </xf>
    <xf numFmtId="180" fontId="11" fillId="33" borderId="18" xfId="0" applyNumberFormat="1" applyFont="1" applyFill="1" applyBorder="1" applyAlignment="1">
      <alignment horizontal="center" vertical="center" wrapText="1"/>
    </xf>
    <xf numFmtId="180" fontId="11" fillId="33" borderId="26" xfId="0" applyNumberFormat="1" applyFont="1" applyFill="1" applyBorder="1" applyAlignment="1">
      <alignment horizontal="center" vertical="center" wrapText="1"/>
    </xf>
    <xf numFmtId="180" fontId="11" fillId="33" borderId="15" xfId="0" applyNumberFormat="1" applyFont="1" applyFill="1" applyBorder="1" applyAlignment="1">
      <alignment horizontal="center" vertical="center" wrapText="1"/>
    </xf>
    <xf numFmtId="177" fontId="11" fillId="33" borderId="18" xfId="54" applyNumberFormat="1" applyFont="1" applyFill="1" applyBorder="1" applyAlignment="1">
      <alignment horizontal="center" vertical="center" wrapText="1"/>
      <protection/>
    </xf>
    <xf numFmtId="177" fontId="11" fillId="33" borderId="15" xfId="54" applyNumberFormat="1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13" fillId="33" borderId="16" xfId="54" applyFont="1" applyFill="1" applyBorder="1" applyAlignment="1">
      <alignment horizontal="center" vertical="center" wrapText="1"/>
      <protection/>
    </xf>
    <xf numFmtId="0" fontId="13" fillId="33" borderId="25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view="pageBreakPreview" zoomScale="71" zoomScaleNormal="74" zoomScaleSheetLayoutView="71" zoomScalePageLayoutView="0" workbookViewId="0" topLeftCell="A1">
      <pane xSplit="3" ySplit="7" topLeftCell="N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47" sqref="AG47"/>
    </sheetView>
  </sheetViews>
  <sheetFormatPr defaultColWidth="9.140625" defaultRowHeight="12.75"/>
  <cols>
    <col min="1" max="1" width="9.00390625" style="4" customWidth="1"/>
    <col min="2" max="2" width="20.140625" style="4" customWidth="1"/>
    <col min="3" max="3" width="14.8515625" style="4" customWidth="1"/>
    <col min="4" max="4" width="14.7109375" style="5" customWidth="1"/>
    <col min="5" max="5" width="13.7109375" style="5" customWidth="1"/>
    <col min="6" max="6" width="14.8515625" style="5" customWidth="1"/>
    <col min="7" max="7" width="15.7109375" style="5" customWidth="1"/>
    <col min="8" max="8" width="15.421875" style="5" customWidth="1"/>
    <col min="9" max="9" width="15.28125" style="5" customWidth="1"/>
    <col min="10" max="10" width="16.421875" style="5" customWidth="1"/>
    <col min="11" max="11" width="15.8515625" style="5" customWidth="1"/>
    <col min="12" max="22" width="29.7109375" style="5" customWidth="1"/>
    <col min="23" max="23" width="17.28125" style="19" customWidth="1"/>
    <col min="24" max="24" width="15.140625" style="19" customWidth="1"/>
    <col min="25" max="25" width="15.00390625" style="19" customWidth="1"/>
    <col min="26" max="26" width="12.00390625" style="19" customWidth="1"/>
    <col min="27" max="27" width="15.7109375" style="19" customWidth="1"/>
    <col min="28" max="28" width="14.57421875" style="19" customWidth="1"/>
    <col min="29" max="29" width="13.57421875" style="19" customWidth="1"/>
    <col min="30" max="30" width="19.8515625" style="19" customWidth="1"/>
    <col min="31" max="31" width="20.421875" style="19" customWidth="1"/>
    <col min="32" max="32" width="15.00390625" style="70" customWidth="1"/>
    <col min="33" max="33" width="21.8515625" style="70" customWidth="1"/>
    <col min="34" max="16384" width="9.140625" style="19" customWidth="1"/>
  </cols>
  <sheetData>
    <row r="1" spans="1:33" s="6" customFormat="1" ht="18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 t="s">
        <v>87</v>
      </c>
      <c r="R1" s="118"/>
      <c r="S1" s="118"/>
      <c r="T1" s="97"/>
      <c r="U1" s="97"/>
      <c r="V1" s="97"/>
      <c r="AF1" s="67"/>
      <c r="AG1" s="67"/>
    </row>
    <row r="2" spans="1:33" s="6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F2" s="67"/>
      <c r="AG2" s="67"/>
    </row>
    <row r="3" spans="1:33" s="83" customFormat="1" ht="36.75" customHeight="1">
      <c r="A3" s="152" t="s">
        <v>81</v>
      </c>
      <c r="B3" s="143" t="s">
        <v>74</v>
      </c>
      <c r="C3" s="143" t="s">
        <v>75</v>
      </c>
      <c r="D3" s="157" t="s">
        <v>76</v>
      </c>
      <c r="E3" s="157"/>
      <c r="F3" s="157"/>
      <c r="G3" s="157"/>
      <c r="H3" s="157"/>
      <c r="I3" s="157"/>
      <c r="J3" s="157"/>
      <c r="K3" s="157"/>
      <c r="L3" s="158" t="s">
        <v>70</v>
      </c>
      <c r="M3" s="159"/>
      <c r="N3" s="159"/>
      <c r="O3" s="159"/>
      <c r="P3" s="159"/>
      <c r="Q3" s="159"/>
      <c r="R3" s="159"/>
      <c r="S3" s="160"/>
      <c r="T3" s="156" t="s">
        <v>78</v>
      </c>
      <c r="U3" s="101"/>
      <c r="V3" s="156" t="s">
        <v>79</v>
      </c>
      <c r="W3" s="156" t="s">
        <v>80</v>
      </c>
      <c r="X3" s="156"/>
      <c r="Y3" s="156"/>
      <c r="Z3" s="156"/>
      <c r="AA3" s="156"/>
      <c r="AB3" s="156"/>
      <c r="AC3" s="156"/>
      <c r="AD3" s="156"/>
      <c r="AE3" s="156"/>
      <c r="AF3" s="82"/>
      <c r="AG3" s="82"/>
    </row>
    <row r="4" spans="1:33" s="83" customFormat="1" ht="58.5" customHeight="1">
      <c r="A4" s="153"/>
      <c r="B4" s="144"/>
      <c r="C4" s="144"/>
      <c r="D4" s="146" t="s">
        <v>38</v>
      </c>
      <c r="E4" s="147"/>
      <c r="F4" s="147"/>
      <c r="G4" s="147"/>
      <c r="H4" s="147"/>
      <c r="I4" s="147"/>
      <c r="J4" s="147"/>
      <c r="K4" s="148"/>
      <c r="L4" s="161"/>
      <c r="M4" s="162"/>
      <c r="N4" s="162"/>
      <c r="O4" s="162"/>
      <c r="P4" s="162"/>
      <c r="Q4" s="162"/>
      <c r="R4" s="162"/>
      <c r="S4" s="163"/>
      <c r="T4" s="156"/>
      <c r="U4" s="101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5"/>
      <c r="AG4" s="155"/>
    </row>
    <row r="5" spans="1:33" s="83" customFormat="1" ht="65.25" customHeight="1">
      <c r="A5" s="153"/>
      <c r="B5" s="144"/>
      <c r="C5" s="144"/>
      <c r="D5" s="100" t="s">
        <v>53</v>
      </c>
      <c r="E5" s="100" t="s">
        <v>53</v>
      </c>
      <c r="F5" s="100" t="s">
        <v>53</v>
      </c>
      <c r="G5" s="100" t="s">
        <v>41</v>
      </c>
      <c r="H5" s="100" t="s">
        <v>53</v>
      </c>
      <c r="I5" s="100" t="s">
        <v>53</v>
      </c>
      <c r="J5" s="100" t="s">
        <v>41</v>
      </c>
      <c r="K5" s="100" t="s">
        <v>41</v>
      </c>
      <c r="L5" s="146" t="s">
        <v>38</v>
      </c>
      <c r="M5" s="147"/>
      <c r="N5" s="147"/>
      <c r="O5" s="147"/>
      <c r="P5" s="147"/>
      <c r="Q5" s="147"/>
      <c r="R5" s="147"/>
      <c r="S5" s="148"/>
      <c r="T5" s="156"/>
      <c r="U5" s="101"/>
      <c r="V5" s="156"/>
      <c r="W5" s="150" t="s">
        <v>38</v>
      </c>
      <c r="X5" s="150"/>
      <c r="Y5" s="150"/>
      <c r="Z5" s="150"/>
      <c r="AA5" s="150"/>
      <c r="AB5" s="150"/>
      <c r="AC5" s="150"/>
      <c r="AD5" s="151"/>
      <c r="AE5" s="143" t="s">
        <v>62</v>
      </c>
      <c r="AF5" s="155"/>
      <c r="AG5" s="155"/>
    </row>
    <row r="6" spans="1:33" s="83" customFormat="1" ht="77.25" customHeight="1">
      <c r="A6" s="153"/>
      <c r="B6" s="142" t="s">
        <v>73</v>
      </c>
      <c r="C6" s="144"/>
      <c r="D6" s="100" t="s">
        <v>43</v>
      </c>
      <c r="E6" s="100" t="s">
        <v>42</v>
      </c>
      <c r="F6" s="100" t="s">
        <v>44</v>
      </c>
      <c r="G6" s="100" t="s">
        <v>44</v>
      </c>
      <c r="H6" s="100" t="s">
        <v>58</v>
      </c>
      <c r="I6" s="100" t="s">
        <v>56</v>
      </c>
      <c r="J6" s="100" t="s">
        <v>58</v>
      </c>
      <c r="K6" s="100" t="s">
        <v>56</v>
      </c>
      <c r="L6" s="100" t="s">
        <v>53</v>
      </c>
      <c r="M6" s="100" t="s">
        <v>53</v>
      </c>
      <c r="N6" s="100" t="s">
        <v>53</v>
      </c>
      <c r="O6" s="100" t="s">
        <v>41</v>
      </c>
      <c r="P6" s="100" t="s">
        <v>53</v>
      </c>
      <c r="Q6" s="100" t="s">
        <v>53</v>
      </c>
      <c r="R6" s="100" t="s">
        <v>41</v>
      </c>
      <c r="S6" s="100" t="s">
        <v>41</v>
      </c>
      <c r="T6" s="156"/>
      <c r="U6" s="101"/>
      <c r="V6" s="156"/>
      <c r="W6" s="100" t="s">
        <v>53</v>
      </c>
      <c r="X6" s="100" t="s">
        <v>53</v>
      </c>
      <c r="Y6" s="100" t="s">
        <v>53</v>
      </c>
      <c r="Z6" s="100" t="s">
        <v>41</v>
      </c>
      <c r="AA6" s="100" t="s">
        <v>53</v>
      </c>
      <c r="AB6" s="100" t="s">
        <v>53</v>
      </c>
      <c r="AC6" s="100" t="s">
        <v>41</v>
      </c>
      <c r="AD6" s="100" t="s">
        <v>41</v>
      </c>
      <c r="AE6" s="144"/>
      <c r="AF6" s="155"/>
      <c r="AG6" s="155"/>
    </row>
    <row r="7" spans="1:33" s="83" customFormat="1" ht="75.75" customHeight="1">
      <c r="A7" s="154"/>
      <c r="B7" s="142"/>
      <c r="C7" s="149"/>
      <c r="D7" s="100" t="s">
        <v>72</v>
      </c>
      <c r="E7" s="100" t="s">
        <v>72</v>
      </c>
      <c r="F7" s="100" t="s">
        <v>72</v>
      </c>
      <c r="G7" s="100" t="s">
        <v>72</v>
      </c>
      <c r="H7" s="100" t="s">
        <v>72</v>
      </c>
      <c r="I7" s="100" t="s">
        <v>72</v>
      </c>
      <c r="J7" s="100" t="s">
        <v>72</v>
      </c>
      <c r="K7" s="100" t="s">
        <v>72</v>
      </c>
      <c r="L7" s="102" t="s">
        <v>43</v>
      </c>
      <c r="M7" s="100" t="s">
        <v>42</v>
      </c>
      <c r="N7" s="100" t="s">
        <v>44</v>
      </c>
      <c r="O7" s="100" t="s">
        <v>44</v>
      </c>
      <c r="P7" s="100" t="s">
        <v>58</v>
      </c>
      <c r="Q7" s="100" t="s">
        <v>56</v>
      </c>
      <c r="R7" s="100" t="s">
        <v>58</v>
      </c>
      <c r="S7" s="100" t="s">
        <v>56</v>
      </c>
      <c r="T7" s="156"/>
      <c r="U7" s="101"/>
      <c r="V7" s="156"/>
      <c r="W7" s="98" t="s">
        <v>43</v>
      </c>
      <c r="X7" s="100" t="s">
        <v>42</v>
      </c>
      <c r="Y7" s="100" t="s">
        <v>44</v>
      </c>
      <c r="Z7" s="100" t="s">
        <v>44</v>
      </c>
      <c r="AA7" s="100" t="s">
        <v>58</v>
      </c>
      <c r="AB7" s="100" t="s">
        <v>56</v>
      </c>
      <c r="AC7" s="100" t="s">
        <v>58</v>
      </c>
      <c r="AD7" s="100" t="s">
        <v>56</v>
      </c>
      <c r="AE7" s="149"/>
      <c r="AF7" s="155"/>
      <c r="AG7" s="155"/>
    </row>
    <row r="8" spans="1:33" s="41" customFormat="1" ht="18" customHeight="1">
      <c r="A8" s="44">
        <v>1</v>
      </c>
      <c r="B8" s="45" t="s">
        <v>0</v>
      </c>
      <c r="C8" s="79">
        <v>5</v>
      </c>
      <c r="D8" s="111">
        <v>183</v>
      </c>
      <c r="E8" s="111"/>
      <c r="F8" s="111"/>
      <c r="G8" s="111">
        <v>6</v>
      </c>
      <c r="H8" s="111">
        <v>4</v>
      </c>
      <c r="I8" s="111"/>
      <c r="J8" s="111"/>
      <c r="K8" s="111">
        <v>3</v>
      </c>
      <c r="L8" s="112">
        <v>24591</v>
      </c>
      <c r="M8" s="112">
        <v>24591</v>
      </c>
      <c r="N8" s="112">
        <v>24591</v>
      </c>
      <c r="O8" s="112">
        <v>26785</v>
      </c>
      <c r="P8" s="112">
        <v>283668</v>
      </c>
      <c r="Q8" s="112">
        <v>283668</v>
      </c>
      <c r="R8" s="112">
        <v>283668</v>
      </c>
      <c r="S8" s="112">
        <v>283668</v>
      </c>
      <c r="T8" s="76">
        <v>1.058</v>
      </c>
      <c r="U8" s="76">
        <f>'Школы-основная'!W8</f>
        <v>1</v>
      </c>
      <c r="V8" s="81">
        <f>'Школы-средняя'!T8</f>
        <v>0.947</v>
      </c>
      <c r="W8" s="54">
        <f>ROUND(D8*L8*T8*V8*U8/1000,1)</f>
        <v>4508.8</v>
      </c>
      <c r="X8" s="54">
        <f>ROUND(E8*M8*V8*U8/1000,1)</f>
        <v>0</v>
      </c>
      <c r="Y8" s="54">
        <f>ROUND(F8*N8/1000*V8*U8,1)</f>
        <v>0</v>
      </c>
      <c r="Z8" s="54">
        <f>ROUND(G8*O8/1000*V8*U8,1)</f>
        <v>152.2</v>
      </c>
      <c r="AA8" s="54">
        <f>ROUND(H8*P8/1000*V8*U8,1)</f>
        <v>1074.5</v>
      </c>
      <c r="AB8" s="54">
        <f>ROUND(I8*Q8/1000*V8*U8,1)</f>
        <v>0</v>
      </c>
      <c r="AC8" s="54">
        <f>ROUND(J8*R8/1000*V8*U8,1)</f>
        <v>0</v>
      </c>
      <c r="AD8" s="54">
        <f>ROUND(K8*S8/1000*V8*U8,1)</f>
        <v>805.9</v>
      </c>
      <c r="AE8" s="54">
        <f aca="true" t="shared" si="0" ref="AE8:AE46">SUM(W8:AD8)</f>
        <v>6541.4</v>
      </c>
      <c r="AF8" s="139">
        <v>6541.4</v>
      </c>
      <c r="AG8" s="140">
        <f>AF8-AE8</f>
        <v>0</v>
      </c>
    </row>
    <row r="9" spans="1:33" s="41" customFormat="1" ht="15.75">
      <c r="A9" s="35">
        <v>2</v>
      </c>
      <c r="B9" s="45" t="s">
        <v>60</v>
      </c>
      <c r="C9" s="79">
        <v>6</v>
      </c>
      <c r="D9" s="66">
        <v>296</v>
      </c>
      <c r="E9" s="66">
        <v>2</v>
      </c>
      <c r="F9" s="66"/>
      <c r="G9" s="66">
        <v>3</v>
      </c>
      <c r="H9" s="66"/>
      <c r="I9" s="66"/>
      <c r="J9" s="66"/>
      <c r="K9" s="66"/>
      <c r="L9" s="112">
        <v>26330</v>
      </c>
      <c r="M9" s="112">
        <v>26330</v>
      </c>
      <c r="N9" s="112">
        <v>26330</v>
      </c>
      <c r="O9" s="113">
        <v>28735</v>
      </c>
      <c r="P9" s="112">
        <v>283668</v>
      </c>
      <c r="Q9" s="112">
        <v>283668</v>
      </c>
      <c r="R9" s="112">
        <v>283668</v>
      </c>
      <c r="S9" s="112">
        <v>283668</v>
      </c>
      <c r="T9" s="76">
        <v>1</v>
      </c>
      <c r="U9" s="76">
        <f>'Школы-основная'!W9</f>
        <v>1.015</v>
      </c>
      <c r="V9" s="81">
        <f>'Школы-средняя'!T9</f>
        <v>1</v>
      </c>
      <c r="W9" s="54">
        <f aca="true" t="shared" si="1" ref="W9:W46">ROUND(D9*L9*T9*V9*U9/1000,1)</f>
        <v>7910.6</v>
      </c>
      <c r="X9" s="54">
        <f aca="true" t="shared" si="2" ref="X9:X46">ROUND(E9*M9*V9*U9/1000,1)</f>
        <v>53.4</v>
      </c>
      <c r="Y9" s="54">
        <f aca="true" t="shared" si="3" ref="Y9:Y46">ROUND(F9*N9/1000*V9*U9,1)</f>
        <v>0</v>
      </c>
      <c r="Z9" s="54">
        <f aca="true" t="shared" si="4" ref="Z9:Z46">ROUND(G9*O9/1000*V9*U9,1)</f>
        <v>87.5</v>
      </c>
      <c r="AA9" s="54">
        <f aca="true" t="shared" si="5" ref="AA9:AA46">ROUND(H9*P9/1000*V9*U9,1)</f>
        <v>0</v>
      </c>
      <c r="AB9" s="54">
        <f aca="true" t="shared" si="6" ref="AB9:AB46">ROUND(I9*Q9/1000*V9*U9,1)</f>
        <v>0</v>
      </c>
      <c r="AC9" s="54">
        <f aca="true" t="shared" si="7" ref="AC9:AC46">ROUND(J9*R9/1000*V9*U9,1)</f>
        <v>0</v>
      </c>
      <c r="AD9" s="54">
        <f aca="true" t="shared" si="8" ref="AD9:AD46">ROUND(K9*S9/1000*V9*U9,1)</f>
        <v>0</v>
      </c>
      <c r="AE9" s="54">
        <f t="shared" si="0"/>
        <v>8051.5</v>
      </c>
      <c r="AF9" s="139">
        <v>8051.5</v>
      </c>
      <c r="AG9" s="140">
        <f aca="true" t="shared" si="9" ref="AG9:AG46">AF9-AE9</f>
        <v>0</v>
      </c>
    </row>
    <row r="10" spans="1:33" s="41" customFormat="1" ht="15.75">
      <c r="A10" s="35">
        <v>3</v>
      </c>
      <c r="B10" s="45" t="s">
        <v>1</v>
      </c>
      <c r="C10" s="79">
        <v>6</v>
      </c>
      <c r="D10" s="66">
        <v>281</v>
      </c>
      <c r="E10" s="66">
        <v>1</v>
      </c>
      <c r="F10" s="66">
        <v>6</v>
      </c>
      <c r="G10" s="66"/>
      <c r="H10" s="66"/>
      <c r="I10" s="66"/>
      <c r="J10" s="66">
        <v>3</v>
      </c>
      <c r="K10" s="66"/>
      <c r="L10" s="112">
        <v>26330</v>
      </c>
      <c r="M10" s="112">
        <v>26330</v>
      </c>
      <c r="N10" s="112">
        <v>26330</v>
      </c>
      <c r="O10" s="113">
        <v>28735</v>
      </c>
      <c r="P10" s="112">
        <v>283668</v>
      </c>
      <c r="Q10" s="112">
        <v>283668</v>
      </c>
      <c r="R10" s="112">
        <v>283668</v>
      </c>
      <c r="S10" s="112">
        <v>283668</v>
      </c>
      <c r="T10" s="76">
        <v>1.042</v>
      </c>
      <c r="U10" s="76">
        <f>'Школы-основная'!W10</f>
        <v>1</v>
      </c>
      <c r="V10" s="81">
        <f>'Школы-средняя'!T10</f>
        <v>0.838</v>
      </c>
      <c r="W10" s="54">
        <f t="shared" si="1"/>
        <v>6460.5</v>
      </c>
      <c r="X10" s="54">
        <f t="shared" si="2"/>
        <v>22.1</v>
      </c>
      <c r="Y10" s="54">
        <f t="shared" si="3"/>
        <v>132.4</v>
      </c>
      <c r="Z10" s="54">
        <f t="shared" si="4"/>
        <v>0</v>
      </c>
      <c r="AA10" s="54">
        <f t="shared" si="5"/>
        <v>0</v>
      </c>
      <c r="AB10" s="54">
        <f t="shared" si="6"/>
        <v>0</v>
      </c>
      <c r="AC10" s="54">
        <f t="shared" si="7"/>
        <v>713.1</v>
      </c>
      <c r="AD10" s="54">
        <f t="shared" si="8"/>
        <v>0</v>
      </c>
      <c r="AE10" s="54">
        <f t="shared" si="0"/>
        <v>7328.1</v>
      </c>
      <c r="AF10" s="139">
        <v>7328.1</v>
      </c>
      <c r="AG10" s="140">
        <f t="shared" si="9"/>
        <v>0</v>
      </c>
    </row>
    <row r="11" spans="1:33" s="41" customFormat="1" ht="15.75">
      <c r="A11" s="35">
        <v>4</v>
      </c>
      <c r="B11" s="45" t="s">
        <v>2</v>
      </c>
      <c r="C11" s="79">
        <v>5</v>
      </c>
      <c r="D11" s="114">
        <v>197</v>
      </c>
      <c r="E11" s="114"/>
      <c r="F11" s="114"/>
      <c r="G11" s="114"/>
      <c r="H11" s="114"/>
      <c r="I11" s="114">
        <v>1</v>
      </c>
      <c r="J11" s="114"/>
      <c r="K11" s="114">
        <v>4</v>
      </c>
      <c r="L11" s="112">
        <v>24591</v>
      </c>
      <c r="M11" s="112">
        <v>24591</v>
      </c>
      <c r="N11" s="112">
        <v>24591</v>
      </c>
      <c r="O11" s="112">
        <v>26785</v>
      </c>
      <c r="P11" s="112">
        <v>283668</v>
      </c>
      <c r="Q11" s="112">
        <v>283668</v>
      </c>
      <c r="R11" s="112">
        <v>283668</v>
      </c>
      <c r="S11" s="112">
        <v>283668</v>
      </c>
      <c r="T11" s="76">
        <v>1.015</v>
      </c>
      <c r="U11" s="76">
        <f>'Школы-основная'!W11</f>
        <v>1</v>
      </c>
      <c r="V11" s="81">
        <f>'Школы-средняя'!T11</f>
        <v>0.802</v>
      </c>
      <c r="W11" s="54">
        <f t="shared" si="1"/>
        <v>3943.5</v>
      </c>
      <c r="X11" s="54">
        <f t="shared" si="2"/>
        <v>0</v>
      </c>
      <c r="Y11" s="54">
        <f t="shared" si="3"/>
        <v>0</v>
      </c>
      <c r="Z11" s="54">
        <f t="shared" si="4"/>
        <v>0</v>
      </c>
      <c r="AA11" s="54">
        <f t="shared" si="5"/>
        <v>0</v>
      </c>
      <c r="AB11" s="54">
        <f t="shared" si="6"/>
        <v>227.5</v>
      </c>
      <c r="AC11" s="54">
        <f t="shared" si="7"/>
        <v>0</v>
      </c>
      <c r="AD11" s="54">
        <f t="shared" si="8"/>
        <v>910</v>
      </c>
      <c r="AE11" s="54">
        <f t="shared" si="0"/>
        <v>5081</v>
      </c>
      <c r="AF11" s="139">
        <v>5081</v>
      </c>
      <c r="AG11" s="140">
        <f t="shared" si="9"/>
        <v>0</v>
      </c>
    </row>
    <row r="12" spans="1:33" s="41" customFormat="1" ht="15.75">
      <c r="A12" s="35">
        <v>5</v>
      </c>
      <c r="B12" s="45" t="s">
        <v>59</v>
      </c>
      <c r="C12" s="79">
        <v>5</v>
      </c>
      <c r="D12" s="66">
        <v>47</v>
      </c>
      <c r="E12" s="66">
        <v>3</v>
      </c>
      <c r="F12" s="66"/>
      <c r="G12" s="66">
        <v>5</v>
      </c>
      <c r="H12" s="66"/>
      <c r="I12" s="66"/>
      <c r="J12" s="66">
        <v>2</v>
      </c>
      <c r="K12" s="66"/>
      <c r="L12" s="112">
        <v>24591</v>
      </c>
      <c r="M12" s="112">
        <v>24591</v>
      </c>
      <c r="N12" s="112">
        <v>24591</v>
      </c>
      <c r="O12" s="112">
        <v>26785</v>
      </c>
      <c r="P12" s="112">
        <v>283668</v>
      </c>
      <c r="Q12" s="112">
        <v>283668</v>
      </c>
      <c r="R12" s="112">
        <v>283668</v>
      </c>
      <c r="S12" s="112">
        <v>283668</v>
      </c>
      <c r="T12" s="76">
        <v>1.818</v>
      </c>
      <c r="U12" s="76">
        <f>'Школы-основная'!W12</f>
        <v>1.007</v>
      </c>
      <c r="V12" s="81">
        <f>'Школы-средняя'!T12</f>
        <v>1</v>
      </c>
      <c r="W12" s="54">
        <f>ROUND(D12*L12*T12*V12*U12/1000,1)+1.4</f>
        <v>2117.3</v>
      </c>
      <c r="X12" s="54">
        <f t="shared" si="2"/>
        <v>74.3</v>
      </c>
      <c r="Y12" s="54">
        <f t="shared" si="3"/>
        <v>0</v>
      </c>
      <c r="Z12" s="54">
        <f t="shared" si="4"/>
        <v>134.9</v>
      </c>
      <c r="AA12" s="54">
        <f t="shared" si="5"/>
        <v>0</v>
      </c>
      <c r="AB12" s="54">
        <f t="shared" si="6"/>
        <v>0</v>
      </c>
      <c r="AC12" s="54">
        <f t="shared" si="7"/>
        <v>571.3</v>
      </c>
      <c r="AD12" s="54">
        <f t="shared" si="8"/>
        <v>0</v>
      </c>
      <c r="AE12" s="54">
        <f t="shared" si="0"/>
        <v>2897.8</v>
      </c>
      <c r="AF12" s="139">
        <v>2897.8</v>
      </c>
      <c r="AG12" s="140">
        <f t="shared" si="9"/>
        <v>0</v>
      </c>
    </row>
    <row r="13" spans="1:33" s="41" customFormat="1" ht="15.75">
      <c r="A13" s="35">
        <v>6</v>
      </c>
      <c r="B13" s="45" t="s">
        <v>3</v>
      </c>
      <c r="C13" s="79">
        <v>5</v>
      </c>
      <c r="D13" s="66">
        <v>290</v>
      </c>
      <c r="E13" s="66">
        <v>3</v>
      </c>
      <c r="F13" s="66">
        <v>1</v>
      </c>
      <c r="G13" s="66">
        <v>2</v>
      </c>
      <c r="H13" s="66"/>
      <c r="I13" s="66"/>
      <c r="J13" s="66">
        <v>2</v>
      </c>
      <c r="K13" s="66">
        <v>1</v>
      </c>
      <c r="L13" s="112">
        <v>24591</v>
      </c>
      <c r="M13" s="112">
        <v>24591</v>
      </c>
      <c r="N13" s="112">
        <v>24591</v>
      </c>
      <c r="O13" s="112">
        <v>26785</v>
      </c>
      <c r="P13" s="112">
        <v>283668</v>
      </c>
      <c r="Q13" s="112">
        <v>283668</v>
      </c>
      <c r="R13" s="112">
        <v>283668</v>
      </c>
      <c r="S13" s="112">
        <v>283668</v>
      </c>
      <c r="T13" s="76">
        <v>1.014</v>
      </c>
      <c r="U13" s="76">
        <f>'Школы-основная'!W13</f>
        <v>1.038</v>
      </c>
      <c r="V13" s="81">
        <f>'Школы-средняя'!T13</f>
        <v>1</v>
      </c>
      <c r="W13" s="54">
        <f t="shared" si="1"/>
        <v>7506</v>
      </c>
      <c r="X13" s="54">
        <f t="shared" si="2"/>
        <v>76.6</v>
      </c>
      <c r="Y13" s="54">
        <f t="shared" si="3"/>
        <v>25.5</v>
      </c>
      <c r="Z13" s="54">
        <f t="shared" si="4"/>
        <v>55.6</v>
      </c>
      <c r="AA13" s="54">
        <f t="shared" si="5"/>
        <v>0</v>
      </c>
      <c r="AB13" s="54">
        <f t="shared" si="6"/>
        <v>0</v>
      </c>
      <c r="AC13" s="54">
        <f t="shared" si="7"/>
        <v>588.9</v>
      </c>
      <c r="AD13" s="54">
        <f t="shared" si="8"/>
        <v>294.4</v>
      </c>
      <c r="AE13" s="54">
        <f t="shared" si="0"/>
        <v>8547</v>
      </c>
      <c r="AF13" s="139">
        <v>8547</v>
      </c>
      <c r="AG13" s="140">
        <f t="shared" si="9"/>
        <v>0</v>
      </c>
    </row>
    <row r="14" spans="1:33" s="41" customFormat="1" ht="15.75" customHeight="1">
      <c r="A14" s="35">
        <v>7</v>
      </c>
      <c r="B14" s="45" t="s">
        <v>4</v>
      </c>
      <c r="C14" s="79">
        <v>5</v>
      </c>
      <c r="D14" s="66">
        <v>349</v>
      </c>
      <c r="E14" s="66"/>
      <c r="F14" s="66"/>
      <c r="G14" s="66">
        <v>3</v>
      </c>
      <c r="H14" s="66"/>
      <c r="I14" s="66"/>
      <c r="J14" s="66"/>
      <c r="K14" s="66">
        <v>2</v>
      </c>
      <c r="L14" s="112">
        <v>24591</v>
      </c>
      <c r="M14" s="112">
        <v>24591</v>
      </c>
      <c r="N14" s="112">
        <v>24591</v>
      </c>
      <c r="O14" s="112">
        <v>26785</v>
      </c>
      <c r="P14" s="112">
        <v>283668</v>
      </c>
      <c r="Q14" s="112">
        <v>283668</v>
      </c>
      <c r="R14" s="112">
        <v>283668</v>
      </c>
      <c r="S14" s="112">
        <v>283668</v>
      </c>
      <c r="T14" s="76">
        <v>1</v>
      </c>
      <c r="U14" s="76">
        <f>'Школы-основная'!W14</f>
        <v>1</v>
      </c>
      <c r="V14" s="81">
        <f>'Школы-средняя'!T14</f>
        <v>0.97</v>
      </c>
      <c r="W14" s="54">
        <f t="shared" si="1"/>
        <v>8324.8</v>
      </c>
      <c r="X14" s="54">
        <f t="shared" si="2"/>
        <v>0</v>
      </c>
      <c r="Y14" s="54">
        <f t="shared" si="3"/>
        <v>0</v>
      </c>
      <c r="Z14" s="54">
        <f t="shared" si="4"/>
        <v>77.9</v>
      </c>
      <c r="AA14" s="54">
        <f t="shared" si="5"/>
        <v>0</v>
      </c>
      <c r="AB14" s="54">
        <f t="shared" si="6"/>
        <v>0</v>
      </c>
      <c r="AC14" s="54">
        <f t="shared" si="7"/>
        <v>0</v>
      </c>
      <c r="AD14" s="54">
        <f t="shared" si="8"/>
        <v>550.3</v>
      </c>
      <c r="AE14" s="54">
        <f t="shared" si="0"/>
        <v>8952.999999999998</v>
      </c>
      <c r="AF14" s="139">
        <v>8952.999999999998</v>
      </c>
      <c r="AG14" s="140">
        <f t="shared" si="9"/>
        <v>0</v>
      </c>
    </row>
    <row r="15" spans="1:33" s="48" customFormat="1" ht="15.75">
      <c r="A15" s="46">
        <v>8</v>
      </c>
      <c r="B15" s="47" t="s">
        <v>5</v>
      </c>
      <c r="C15" s="79">
        <v>5</v>
      </c>
      <c r="D15" s="66">
        <v>374</v>
      </c>
      <c r="E15" s="66">
        <v>1</v>
      </c>
      <c r="F15" s="66"/>
      <c r="G15" s="66">
        <v>8</v>
      </c>
      <c r="H15" s="66">
        <v>2</v>
      </c>
      <c r="I15" s="66"/>
      <c r="J15" s="66"/>
      <c r="K15" s="66">
        <v>1</v>
      </c>
      <c r="L15" s="112">
        <v>24591</v>
      </c>
      <c r="M15" s="112">
        <v>24591</v>
      </c>
      <c r="N15" s="112">
        <v>24591</v>
      </c>
      <c r="O15" s="112">
        <v>26785</v>
      </c>
      <c r="P15" s="112">
        <v>283668</v>
      </c>
      <c r="Q15" s="112">
        <v>283668</v>
      </c>
      <c r="R15" s="112">
        <v>283668</v>
      </c>
      <c r="S15" s="112">
        <v>283668</v>
      </c>
      <c r="T15" s="76">
        <v>1</v>
      </c>
      <c r="U15" s="76">
        <f>'Школы-основная'!W15</f>
        <v>1</v>
      </c>
      <c r="V15" s="81">
        <f>'Школы-средняя'!T15</f>
        <v>0.909</v>
      </c>
      <c r="W15" s="54">
        <f t="shared" si="1"/>
        <v>8360.1</v>
      </c>
      <c r="X15" s="54">
        <f t="shared" si="2"/>
        <v>22.4</v>
      </c>
      <c r="Y15" s="54">
        <f t="shared" si="3"/>
        <v>0</v>
      </c>
      <c r="Z15" s="54">
        <f t="shared" si="4"/>
        <v>194.8</v>
      </c>
      <c r="AA15" s="54">
        <f t="shared" si="5"/>
        <v>515.7</v>
      </c>
      <c r="AB15" s="54">
        <f t="shared" si="6"/>
        <v>0</v>
      </c>
      <c r="AC15" s="54">
        <f t="shared" si="7"/>
        <v>0</v>
      </c>
      <c r="AD15" s="54">
        <f t="shared" si="8"/>
        <v>257.9</v>
      </c>
      <c r="AE15" s="54">
        <f t="shared" si="0"/>
        <v>9350.9</v>
      </c>
      <c r="AF15" s="139">
        <v>9350.9</v>
      </c>
      <c r="AG15" s="140">
        <f t="shared" si="9"/>
        <v>0</v>
      </c>
    </row>
    <row r="16" spans="1:33" s="41" customFormat="1" ht="15.75">
      <c r="A16" s="35">
        <v>9</v>
      </c>
      <c r="B16" s="45" t="s">
        <v>6</v>
      </c>
      <c r="C16" s="79">
        <v>5</v>
      </c>
      <c r="D16" s="66">
        <v>18</v>
      </c>
      <c r="E16" s="66"/>
      <c r="F16" s="66"/>
      <c r="G16" s="66"/>
      <c r="H16" s="66"/>
      <c r="I16" s="66"/>
      <c r="J16" s="66"/>
      <c r="K16" s="66"/>
      <c r="L16" s="113">
        <v>27450</v>
      </c>
      <c r="M16" s="113">
        <v>27450</v>
      </c>
      <c r="N16" s="113">
        <v>27450</v>
      </c>
      <c r="O16" s="113">
        <v>30615</v>
      </c>
      <c r="P16" s="113">
        <v>313095</v>
      </c>
      <c r="Q16" s="113">
        <v>313095</v>
      </c>
      <c r="R16" s="113">
        <v>313095</v>
      </c>
      <c r="S16" s="113">
        <v>313095</v>
      </c>
      <c r="T16" s="77">
        <v>2.778</v>
      </c>
      <c r="U16" s="76">
        <f>'Школы-основная'!W16</f>
        <v>1</v>
      </c>
      <c r="V16" s="81">
        <f>'Школы-средняя'!T16</f>
        <v>0.778</v>
      </c>
      <c r="W16" s="54">
        <f t="shared" si="1"/>
        <v>1067.9</v>
      </c>
      <c r="X16" s="54">
        <f t="shared" si="2"/>
        <v>0</v>
      </c>
      <c r="Y16" s="54">
        <f t="shared" si="3"/>
        <v>0</v>
      </c>
      <c r="Z16" s="54">
        <f t="shared" si="4"/>
        <v>0</v>
      </c>
      <c r="AA16" s="54">
        <f t="shared" si="5"/>
        <v>0</v>
      </c>
      <c r="AB16" s="54">
        <f t="shared" si="6"/>
        <v>0</v>
      </c>
      <c r="AC16" s="54">
        <f t="shared" si="7"/>
        <v>0</v>
      </c>
      <c r="AD16" s="54">
        <f t="shared" si="8"/>
        <v>0</v>
      </c>
      <c r="AE16" s="54">
        <f t="shared" si="0"/>
        <v>1067.9</v>
      </c>
      <c r="AF16" s="139">
        <v>1067.9</v>
      </c>
      <c r="AG16" s="140">
        <f t="shared" si="9"/>
        <v>0</v>
      </c>
    </row>
    <row r="17" spans="1:33" s="41" customFormat="1" ht="15.75">
      <c r="A17" s="46">
        <v>10</v>
      </c>
      <c r="B17" s="36" t="s">
        <v>7</v>
      </c>
      <c r="C17" s="79">
        <v>5</v>
      </c>
      <c r="D17" s="66">
        <v>75</v>
      </c>
      <c r="E17" s="66"/>
      <c r="F17" s="66"/>
      <c r="G17" s="66"/>
      <c r="H17" s="66"/>
      <c r="I17" s="66"/>
      <c r="J17" s="66">
        <v>1</v>
      </c>
      <c r="K17" s="66">
        <v>1</v>
      </c>
      <c r="L17" s="113">
        <v>27450</v>
      </c>
      <c r="M17" s="113">
        <v>27450</v>
      </c>
      <c r="N17" s="113">
        <v>27450</v>
      </c>
      <c r="O17" s="113">
        <v>30615</v>
      </c>
      <c r="P17" s="113">
        <v>313095</v>
      </c>
      <c r="Q17" s="113">
        <v>313095</v>
      </c>
      <c r="R17" s="113">
        <v>313095</v>
      </c>
      <c r="S17" s="113">
        <v>313095</v>
      </c>
      <c r="T17" s="77">
        <v>1.333</v>
      </c>
      <c r="U17" s="76">
        <f>'Школы-основная'!W17</f>
        <v>1</v>
      </c>
      <c r="V17" s="81">
        <f>'Школы-средняя'!T17</f>
        <v>0.963</v>
      </c>
      <c r="W17" s="54">
        <f t="shared" si="1"/>
        <v>2642.8</v>
      </c>
      <c r="X17" s="54">
        <f t="shared" si="2"/>
        <v>0</v>
      </c>
      <c r="Y17" s="54">
        <f t="shared" si="3"/>
        <v>0</v>
      </c>
      <c r="Z17" s="54">
        <f t="shared" si="4"/>
        <v>0</v>
      </c>
      <c r="AA17" s="54">
        <f t="shared" si="5"/>
        <v>0</v>
      </c>
      <c r="AB17" s="54">
        <f t="shared" si="6"/>
        <v>0</v>
      </c>
      <c r="AC17" s="54">
        <f t="shared" si="7"/>
        <v>301.5</v>
      </c>
      <c r="AD17" s="54">
        <f t="shared" si="8"/>
        <v>301.5</v>
      </c>
      <c r="AE17" s="54">
        <f t="shared" si="0"/>
        <v>3245.8</v>
      </c>
      <c r="AF17" s="139">
        <v>3245.8</v>
      </c>
      <c r="AG17" s="140">
        <f t="shared" si="9"/>
        <v>0</v>
      </c>
    </row>
    <row r="18" spans="1:33" s="41" customFormat="1" ht="15.75">
      <c r="A18" s="35">
        <v>11</v>
      </c>
      <c r="B18" s="36" t="s">
        <v>8</v>
      </c>
      <c r="C18" s="79">
        <v>5</v>
      </c>
      <c r="D18" s="66">
        <v>104</v>
      </c>
      <c r="E18" s="66">
        <v>1</v>
      </c>
      <c r="F18" s="66"/>
      <c r="G18" s="66"/>
      <c r="H18" s="66"/>
      <c r="I18" s="66"/>
      <c r="J18" s="66">
        <v>1</v>
      </c>
      <c r="K18" s="66"/>
      <c r="L18" s="113">
        <v>27450</v>
      </c>
      <c r="M18" s="113">
        <v>27450</v>
      </c>
      <c r="N18" s="113">
        <v>27450</v>
      </c>
      <c r="O18" s="113">
        <v>30615</v>
      </c>
      <c r="P18" s="113">
        <v>313095</v>
      </c>
      <c r="Q18" s="113">
        <v>313095</v>
      </c>
      <c r="R18" s="113">
        <v>313095</v>
      </c>
      <c r="S18" s="113">
        <v>313095</v>
      </c>
      <c r="T18" s="77">
        <v>1.19</v>
      </c>
      <c r="U18" s="76">
        <f>'Школы-основная'!W18</f>
        <v>1.101</v>
      </c>
      <c r="V18" s="81">
        <f>'Школы-средняя'!T18</f>
        <v>1</v>
      </c>
      <c r="W18" s="54">
        <f t="shared" si="1"/>
        <v>3740.3</v>
      </c>
      <c r="X18" s="54">
        <f t="shared" si="2"/>
        <v>30.2</v>
      </c>
      <c r="Y18" s="54">
        <f t="shared" si="3"/>
        <v>0</v>
      </c>
      <c r="Z18" s="54">
        <f t="shared" si="4"/>
        <v>0</v>
      </c>
      <c r="AA18" s="54">
        <f t="shared" si="5"/>
        <v>0</v>
      </c>
      <c r="AB18" s="54">
        <f t="shared" si="6"/>
        <v>0</v>
      </c>
      <c r="AC18" s="54">
        <f t="shared" si="7"/>
        <v>344.7</v>
      </c>
      <c r="AD18" s="54">
        <f t="shared" si="8"/>
        <v>0</v>
      </c>
      <c r="AE18" s="54">
        <f t="shared" si="0"/>
        <v>4115.2</v>
      </c>
      <c r="AF18" s="139">
        <v>4115.2</v>
      </c>
      <c r="AG18" s="140">
        <f t="shared" si="9"/>
        <v>0</v>
      </c>
    </row>
    <row r="19" spans="1:33" s="41" customFormat="1" ht="15.75">
      <c r="A19" s="46">
        <v>12</v>
      </c>
      <c r="B19" s="36" t="s">
        <v>9</v>
      </c>
      <c r="C19" s="79">
        <v>5</v>
      </c>
      <c r="D19" s="66">
        <v>103</v>
      </c>
      <c r="E19" s="66"/>
      <c r="F19" s="66"/>
      <c r="G19" s="66"/>
      <c r="H19" s="66"/>
      <c r="I19" s="66"/>
      <c r="J19" s="66">
        <v>3</v>
      </c>
      <c r="K19" s="66"/>
      <c r="L19" s="113">
        <v>27450</v>
      </c>
      <c r="M19" s="113">
        <v>27450</v>
      </c>
      <c r="N19" s="113">
        <v>27450</v>
      </c>
      <c r="O19" s="113">
        <v>30615</v>
      </c>
      <c r="P19" s="113">
        <v>313095</v>
      </c>
      <c r="Q19" s="113">
        <v>313095</v>
      </c>
      <c r="R19" s="113">
        <v>313095</v>
      </c>
      <c r="S19" s="113">
        <v>313095</v>
      </c>
      <c r="T19" s="77">
        <v>1.214</v>
      </c>
      <c r="U19" s="76">
        <f>'Школы-основная'!W19</f>
        <v>1</v>
      </c>
      <c r="V19" s="81">
        <f>'Школы-средняя'!T19</f>
        <v>0.909</v>
      </c>
      <c r="W19" s="54">
        <f t="shared" si="1"/>
        <v>3120.1</v>
      </c>
      <c r="X19" s="54">
        <f t="shared" si="2"/>
        <v>0</v>
      </c>
      <c r="Y19" s="54">
        <f t="shared" si="3"/>
        <v>0</v>
      </c>
      <c r="Z19" s="54">
        <f t="shared" si="4"/>
        <v>0</v>
      </c>
      <c r="AA19" s="54">
        <f t="shared" si="5"/>
        <v>0</v>
      </c>
      <c r="AB19" s="54">
        <f t="shared" si="6"/>
        <v>0</v>
      </c>
      <c r="AC19" s="54">
        <f t="shared" si="7"/>
        <v>853.8</v>
      </c>
      <c r="AD19" s="54">
        <f t="shared" si="8"/>
        <v>0</v>
      </c>
      <c r="AE19" s="54">
        <f t="shared" si="0"/>
        <v>3973.8999999999996</v>
      </c>
      <c r="AF19" s="139">
        <v>3973.8999999999996</v>
      </c>
      <c r="AG19" s="140">
        <f t="shared" si="9"/>
        <v>0</v>
      </c>
    </row>
    <row r="20" spans="1:33" s="41" customFormat="1" ht="15.75">
      <c r="A20" s="35">
        <v>13</v>
      </c>
      <c r="B20" s="36" t="s">
        <v>10</v>
      </c>
      <c r="C20" s="79">
        <v>5</v>
      </c>
      <c r="D20" s="66">
        <v>305</v>
      </c>
      <c r="E20" s="66"/>
      <c r="F20" s="66"/>
      <c r="G20" s="66"/>
      <c r="H20" s="66"/>
      <c r="I20" s="66"/>
      <c r="J20" s="66">
        <v>6</v>
      </c>
      <c r="K20" s="66"/>
      <c r="L20" s="113">
        <v>27450</v>
      </c>
      <c r="M20" s="113">
        <v>27450</v>
      </c>
      <c r="N20" s="113">
        <v>27450</v>
      </c>
      <c r="O20" s="113">
        <v>30615</v>
      </c>
      <c r="P20" s="113">
        <v>313095</v>
      </c>
      <c r="Q20" s="113">
        <v>313095</v>
      </c>
      <c r="R20" s="113">
        <v>313095</v>
      </c>
      <c r="S20" s="113">
        <v>313095</v>
      </c>
      <c r="T20" s="77">
        <v>1.148</v>
      </c>
      <c r="U20" s="76">
        <f>'Школы-основная'!W20</f>
        <v>1</v>
      </c>
      <c r="V20" s="81">
        <f>'Школы-средняя'!T20</f>
        <v>0.896</v>
      </c>
      <c r="W20" s="54">
        <f>ROUND(D20*L20*T20*V20*U20/1000,1)</f>
        <v>8611.8</v>
      </c>
      <c r="X20" s="54">
        <f t="shared" si="2"/>
        <v>0</v>
      </c>
      <c r="Y20" s="54">
        <f t="shared" si="3"/>
        <v>0</v>
      </c>
      <c r="Z20" s="54">
        <f t="shared" si="4"/>
        <v>0</v>
      </c>
      <c r="AA20" s="54">
        <f t="shared" si="5"/>
        <v>0</v>
      </c>
      <c r="AB20" s="54">
        <f t="shared" si="6"/>
        <v>0</v>
      </c>
      <c r="AC20" s="54">
        <f t="shared" si="7"/>
        <v>1683.2</v>
      </c>
      <c r="AD20" s="54">
        <f t="shared" si="8"/>
        <v>0</v>
      </c>
      <c r="AE20" s="54">
        <f t="shared" si="0"/>
        <v>10295</v>
      </c>
      <c r="AF20" s="139">
        <v>10295</v>
      </c>
      <c r="AG20" s="140">
        <f t="shared" si="9"/>
        <v>0</v>
      </c>
    </row>
    <row r="21" spans="1:33" s="41" customFormat="1" ht="19.5" customHeight="1">
      <c r="A21" s="46">
        <v>14</v>
      </c>
      <c r="B21" s="36" t="s">
        <v>11</v>
      </c>
      <c r="C21" s="79">
        <v>5</v>
      </c>
      <c r="D21" s="66">
        <v>41</v>
      </c>
      <c r="E21" s="66"/>
      <c r="F21" s="66"/>
      <c r="G21" s="66">
        <v>1</v>
      </c>
      <c r="H21" s="66"/>
      <c r="I21" s="66"/>
      <c r="J21" s="66"/>
      <c r="K21" s="66">
        <v>1</v>
      </c>
      <c r="L21" s="113">
        <v>27450</v>
      </c>
      <c r="M21" s="113">
        <v>27450</v>
      </c>
      <c r="N21" s="113">
        <v>27450</v>
      </c>
      <c r="O21" s="113">
        <v>30615</v>
      </c>
      <c r="P21" s="113">
        <v>313095</v>
      </c>
      <c r="Q21" s="113">
        <v>313095</v>
      </c>
      <c r="R21" s="113">
        <v>313095</v>
      </c>
      <c r="S21" s="113">
        <v>313095</v>
      </c>
      <c r="T21" s="77">
        <v>3.571</v>
      </c>
      <c r="U21" s="76">
        <f>'Школы-основная'!W21</f>
        <v>1</v>
      </c>
      <c r="V21" s="81">
        <f>'Школы-средняя'!T21</f>
        <v>0.781</v>
      </c>
      <c r="W21" s="54">
        <f>ROUND(D21*L21*T21*V21*U21/1000,1)-1+0.3</f>
        <v>3138.1000000000004</v>
      </c>
      <c r="X21" s="54">
        <f t="shared" si="2"/>
        <v>0</v>
      </c>
      <c r="Y21" s="54">
        <f t="shared" si="3"/>
        <v>0</v>
      </c>
      <c r="Z21" s="54">
        <f t="shared" si="4"/>
        <v>23.9</v>
      </c>
      <c r="AA21" s="54">
        <f t="shared" si="5"/>
        <v>0</v>
      </c>
      <c r="AB21" s="54">
        <f t="shared" si="6"/>
        <v>0</v>
      </c>
      <c r="AC21" s="54">
        <f t="shared" si="7"/>
        <v>0</v>
      </c>
      <c r="AD21" s="54">
        <f t="shared" si="8"/>
        <v>244.5</v>
      </c>
      <c r="AE21" s="54">
        <f t="shared" si="0"/>
        <v>3406.5000000000005</v>
      </c>
      <c r="AF21" s="139">
        <v>3406.5</v>
      </c>
      <c r="AG21" s="140">
        <f t="shared" si="9"/>
        <v>0</v>
      </c>
    </row>
    <row r="22" spans="1:33" s="41" customFormat="1" ht="15.75">
      <c r="A22" s="35">
        <v>15</v>
      </c>
      <c r="B22" s="36" t="s">
        <v>12</v>
      </c>
      <c r="C22" s="79">
        <v>5</v>
      </c>
      <c r="D22" s="66">
        <v>195</v>
      </c>
      <c r="E22" s="66">
        <v>2</v>
      </c>
      <c r="F22" s="66"/>
      <c r="G22" s="66">
        <v>1</v>
      </c>
      <c r="H22" s="66">
        <v>1</v>
      </c>
      <c r="I22" s="66"/>
      <c r="J22" s="66">
        <v>1</v>
      </c>
      <c r="K22" s="66"/>
      <c r="L22" s="113">
        <v>27450</v>
      </c>
      <c r="M22" s="113">
        <v>27450</v>
      </c>
      <c r="N22" s="113">
        <v>27450</v>
      </c>
      <c r="O22" s="113">
        <v>30615</v>
      </c>
      <c r="P22" s="113">
        <v>313095</v>
      </c>
      <c r="Q22" s="113">
        <v>313095</v>
      </c>
      <c r="R22" s="113">
        <v>313095</v>
      </c>
      <c r="S22" s="113">
        <v>313095</v>
      </c>
      <c r="T22" s="77">
        <v>1.136</v>
      </c>
      <c r="U22" s="76">
        <f>'Школы-основная'!W22</f>
        <v>1</v>
      </c>
      <c r="V22" s="81">
        <f>'Школы-средняя'!T22</f>
        <v>0.939</v>
      </c>
      <c r="W22" s="54">
        <f>ROUND(D22*L22*T22*V22*U22/1000,1)-1+0.1</f>
        <v>5708.900000000001</v>
      </c>
      <c r="X22" s="54">
        <f t="shared" si="2"/>
        <v>51.6</v>
      </c>
      <c r="Y22" s="54">
        <f t="shared" si="3"/>
        <v>0</v>
      </c>
      <c r="Z22" s="54">
        <f t="shared" si="4"/>
        <v>28.7</v>
      </c>
      <c r="AA22" s="54">
        <f t="shared" si="5"/>
        <v>294</v>
      </c>
      <c r="AB22" s="54">
        <f t="shared" si="6"/>
        <v>0</v>
      </c>
      <c r="AC22" s="54">
        <f t="shared" si="7"/>
        <v>294</v>
      </c>
      <c r="AD22" s="54">
        <f t="shared" si="8"/>
        <v>0</v>
      </c>
      <c r="AE22" s="54">
        <f t="shared" si="0"/>
        <v>6377.200000000001</v>
      </c>
      <c r="AF22" s="139">
        <v>6377.200000000001</v>
      </c>
      <c r="AG22" s="140">
        <f t="shared" si="9"/>
        <v>0</v>
      </c>
    </row>
    <row r="23" spans="1:33" s="41" customFormat="1" ht="15.75" customHeight="1">
      <c r="A23" s="46">
        <v>16</v>
      </c>
      <c r="B23" s="36" t="s">
        <v>13</v>
      </c>
      <c r="C23" s="79">
        <v>5</v>
      </c>
      <c r="D23" s="66">
        <v>70</v>
      </c>
      <c r="E23" s="66"/>
      <c r="F23" s="66"/>
      <c r="G23" s="66">
        <v>5</v>
      </c>
      <c r="H23" s="66">
        <v>1</v>
      </c>
      <c r="I23" s="66"/>
      <c r="J23" s="66">
        <v>1</v>
      </c>
      <c r="K23" s="66"/>
      <c r="L23" s="113">
        <v>27450</v>
      </c>
      <c r="M23" s="113">
        <v>27450</v>
      </c>
      <c r="N23" s="113">
        <v>27450</v>
      </c>
      <c r="O23" s="113">
        <v>30615</v>
      </c>
      <c r="P23" s="113">
        <v>313095</v>
      </c>
      <c r="Q23" s="113">
        <v>313095</v>
      </c>
      <c r="R23" s="113">
        <v>313095</v>
      </c>
      <c r="S23" s="113">
        <v>313095</v>
      </c>
      <c r="T23" s="77">
        <v>1.333</v>
      </c>
      <c r="U23" s="76">
        <f>'Школы-основная'!W23</f>
        <v>1</v>
      </c>
      <c r="V23" s="81">
        <f>'Школы-средняя'!T23</f>
        <v>0.779</v>
      </c>
      <c r="W23" s="54">
        <f>ROUND(D23*L23*T23*V23*U23/1000,1)-4+0.3</f>
        <v>1991.6</v>
      </c>
      <c r="X23" s="54">
        <f t="shared" si="2"/>
        <v>0</v>
      </c>
      <c r="Y23" s="54">
        <f t="shared" si="3"/>
        <v>0</v>
      </c>
      <c r="Z23" s="54">
        <f t="shared" si="4"/>
        <v>119.2</v>
      </c>
      <c r="AA23" s="54">
        <f t="shared" si="5"/>
        <v>243.9</v>
      </c>
      <c r="AB23" s="54">
        <f t="shared" si="6"/>
        <v>0</v>
      </c>
      <c r="AC23" s="54">
        <f t="shared" si="7"/>
        <v>243.9</v>
      </c>
      <c r="AD23" s="54">
        <f t="shared" si="8"/>
        <v>0</v>
      </c>
      <c r="AE23" s="54">
        <f t="shared" si="0"/>
        <v>2598.6</v>
      </c>
      <c r="AF23" s="139">
        <v>2598.6000000000004</v>
      </c>
      <c r="AG23" s="140">
        <f t="shared" si="9"/>
        <v>0</v>
      </c>
    </row>
    <row r="24" spans="1:33" s="41" customFormat="1" ht="19.5" customHeight="1">
      <c r="A24" s="35">
        <v>17</v>
      </c>
      <c r="B24" s="36" t="s">
        <v>14</v>
      </c>
      <c r="C24" s="79">
        <v>5</v>
      </c>
      <c r="D24" s="66">
        <v>12</v>
      </c>
      <c r="E24" s="115"/>
      <c r="F24" s="115"/>
      <c r="G24" s="115"/>
      <c r="H24" s="115"/>
      <c r="I24" s="115"/>
      <c r="J24" s="115"/>
      <c r="K24" s="115"/>
      <c r="L24" s="113">
        <v>27450</v>
      </c>
      <c r="M24" s="113">
        <v>27450</v>
      </c>
      <c r="N24" s="113">
        <v>27450</v>
      </c>
      <c r="O24" s="113">
        <v>30615</v>
      </c>
      <c r="P24" s="113">
        <v>313095</v>
      </c>
      <c r="Q24" s="113">
        <v>313095</v>
      </c>
      <c r="R24" s="113">
        <v>313095</v>
      </c>
      <c r="S24" s="113">
        <v>313095</v>
      </c>
      <c r="T24" s="77">
        <v>4.167</v>
      </c>
      <c r="U24" s="76">
        <f>'Школы-основная'!W24</f>
        <v>1</v>
      </c>
      <c r="V24" s="81">
        <f>'Школы-средняя'!T24</f>
        <v>0.713</v>
      </c>
      <c r="W24" s="54">
        <f t="shared" si="1"/>
        <v>978.7</v>
      </c>
      <c r="X24" s="54">
        <f t="shared" si="2"/>
        <v>0</v>
      </c>
      <c r="Y24" s="54">
        <f t="shared" si="3"/>
        <v>0</v>
      </c>
      <c r="Z24" s="54">
        <f t="shared" si="4"/>
        <v>0</v>
      </c>
      <c r="AA24" s="54">
        <f t="shared" si="5"/>
        <v>0</v>
      </c>
      <c r="AB24" s="54">
        <f t="shared" si="6"/>
        <v>0</v>
      </c>
      <c r="AC24" s="54">
        <f t="shared" si="7"/>
        <v>0</v>
      </c>
      <c r="AD24" s="54">
        <f t="shared" si="8"/>
        <v>0</v>
      </c>
      <c r="AE24" s="54">
        <f t="shared" si="0"/>
        <v>978.7</v>
      </c>
      <c r="AF24" s="139">
        <v>978.7</v>
      </c>
      <c r="AG24" s="140">
        <f t="shared" si="9"/>
        <v>0</v>
      </c>
    </row>
    <row r="25" spans="1:33" s="41" customFormat="1" ht="15.75">
      <c r="A25" s="46">
        <v>18</v>
      </c>
      <c r="B25" s="36" t="s">
        <v>15</v>
      </c>
      <c r="C25" s="79">
        <v>5</v>
      </c>
      <c r="D25" s="66">
        <v>29</v>
      </c>
      <c r="E25" s="66"/>
      <c r="F25" s="66"/>
      <c r="G25" s="66">
        <v>3</v>
      </c>
      <c r="H25" s="66">
        <v>1</v>
      </c>
      <c r="I25" s="66"/>
      <c r="J25" s="66">
        <v>1</v>
      </c>
      <c r="K25" s="66"/>
      <c r="L25" s="113">
        <v>27450</v>
      </c>
      <c r="M25" s="113">
        <v>27450</v>
      </c>
      <c r="N25" s="113">
        <v>27450</v>
      </c>
      <c r="O25" s="113">
        <v>30615</v>
      </c>
      <c r="P25" s="113">
        <v>313095</v>
      </c>
      <c r="Q25" s="113">
        <v>313095</v>
      </c>
      <c r="R25" s="113">
        <v>313095</v>
      </c>
      <c r="S25" s="113">
        <v>313095</v>
      </c>
      <c r="T25" s="77">
        <v>2.344</v>
      </c>
      <c r="U25" s="76">
        <f>'Школы-основная'!W25</f>
        <v>1</v>
      </c>
      <c r="V25" s="81">
        <f>'Школы-средняя'!T25</f>
        <v>0.683</v>
      </c>
      <c r="W25" s="54">
        <f>ROUND(D25*L25*T25*V25*U25/1000,1)-2</f>
        <v>1272.4</v>
      </c>
      <c r="X25" s="54">
        <f t="shared" si="2"/>
        <v>0</v>
      </c>
      <c r="Y25" s="54">
        <f t="shared" si="3"/>
        <v>0</v>
      </c>
      <c r="Z25" s="54">
        <f t="shared" si="4"/>
        <v>62.7</v>
      </c>
      <c r="AA25" s="54">
        <f t="shared" si="5"/>
        <v>213.8</v>
      </c>
      <c r="AB25" s="54">
        <f t="shared" si="6"/>
        <v>0</v>
      </c>
      <c r="AC25" s="54">
        <f t="shared" si="7"/>
        <v>213.8</v>
      </c>
      <c r="AD25" s="54">
        <f t="shared" si="8"/>
        <v>0</v>
      </c>
      <c r="AE25" s="54">
        <f t="shared" si="0"/>
        <v>1762.7</v>
      </c>
      <c r="AF25" s="139">
        <v>1762.7</v>
      </c>
      <c r="AG25" s="140">
        <f t="shared" si="9"/>
        <v>0</v>
      </c>
    </row>
    <row r="26" spans="1:33" s="41" customFormat="1" ht="21" customHeight="1">
      <c r="A26" s="35">
        <v>19</v>
      </c>
      <c r="B26" s="36" t="s">
        <v>16</v>
      </c>
      <c r="C26" s="79">
        <v>5</v>
      </c>
      <c r="D26" s="66">
        <v>118</v>
      </c>
      <c r="E26" s="66"/>
      <c r="F26" s="66"/>
      <c r="G26" s="66">
        <v>1</v>
      </c>
      <c r="H26" s="66"/>
      <c r="I26" s="66"/>
      <c r="J26" s="66"/>
      <c r="K26" s="66">
        <v>2</v>
      </c>
      <c r="L26" s="113">
        <v>27450</v>
      </c>
      <c r="M26" s="113">
        <v>27450</v>
      </c>
      <c r="N26" s="113">
        <v>27450</v>
      </c>
      <c r="O26" s="113">
        <v>30615</v>
      </c>
      <c r="P26" s="113">
        <v>313095</v>
      </c>
      <c r="Q26" s="113">
        <v>313095</v>
      </c>
      <c r="R26" s="113">
        <v>313095</v>
      </c>
      <c r="S26" s="113">
        <v>313095</v>
      </c>
      <c r="T26" s="77">
        <v>1.261</v>
      </c>
      <c r="U26" s="76">
        <f>'Школы-основная'!W26</f>
        <v>1</v>
      </c>
      <c r="V26" s="81">
        <f>'Школы-средняя'!T26</f>
        <v>0.974</v>
      </c>
      <c r="W26" s="54">
        <f>ROUND(D26*L26*T26*V26*U26/1000,1)-1+0.1</f>
        <v>3977.4</v>
      </c>
      <c r="X26" s="54">
        <f t="shared" si="2"/>
        <v>0</v>
      </c>
      <c r="Y26" s="54">
        <f t="shared" si="3"/>
        <v>0</v>
      </c>
      <c r="Z26" s="54">
        <f t="shared" si="4"/>
        <v>29.8</v>
      </c>
      <c r="AA26" s="54">
        <f t="shared" si="5"/>
        <v>0</v>
      </c>
      <c r="AB26" s="54">
        <f t="shared" si="6"/>
        <v>0</v>
      </c>
      <c r="AC26" s="54">
        <f t="shared" si="7"/>
        <v>0</v>
      </c>
      <c r="AD26" s="54">
        <f t="shared" si="8"/>
        <v>609.9</v>
      </c>
      <c r="AE26" s="54">
        <f t="shared" si="0"/>
        <v>4617.1</v>
      </c>
      <c r="AF26" s="139">
        <v>4617.1</v>
      </c>
      <c r="AG26" s="140">
        <f t="shared" si="9"/>
        <v>0</v>
      </c>
    </row>
    <row r="27" spans="1:33" s="41" customFormat="1" ht="15.75">
      <c r="A27" s="46">
        <v>20</v>
      </c>
      <c r="B27" s="36" t="s">
        <v>17</v>
      </c>
      <c r="C27" s="79">
        <v>5</v>
      </c>
      <c r="D27" s="66">
        <v>204</v>
      </c>
      <c r="E27" s="66">
        <v>2</v>
      </c>
      <c r="F27" s="66"/>
      <c r="G27" s="66">
        <v>2</v>
      </c>
      <c r="H27" s="66"/>
      <c r="I27" s="66"/>
      <c r="J27" s="66">
        <v>1</v>
      </c>
      <c r="K27" s="66">
        <v>1</v>
      </c>
      <c r="L27" s="113">
        <v>27450</v>
      </c>
      <c r="M27" s="113">
        <v>27450</v>
      </c>
      <c r="N27" s="113">
        <v>27450</v>
      </c>
      <c r="O27" s="113">
        <v>30615</v>
      </c>
      <c r="P27" s="113">
        <v>313095</v>
      </c>
      <c r="Q27" s="113">
        <v>313095</v>
      </c>
      <c r="R27" s="113">
        <v>313095</v>
      </c>
      <c r="S27" s="113">
        <v>313095</v>
      </c>
      <c r="T27" s="77">
        <v>1</v>
      </c>
      <c r="U27" s="76">
        <f>'Школы-основная'!W27</f>
        <v>1.095</v>
      </c>
      <c r="V27" s="81">
        <f>'Школы-средняя'!T27</f>
        <v>1</v>
      </c>
      <c r="W27" s="54">
        <f>ROUND(D27*L27*T27*V27*U27/1000,1)-2-0.1</f>
        <v>6129.7</v>
      </c>
      <c r="X27" s="54">
        <f t="shared" si="2"/>
        <v>60.1</v>
      </c>
      <c r="Y27" s="54">
        <f t="shared" si="3"/>
        <v>0</v>
      </c>
      <c r="Z27" s="54">
        <f t="shared" si="4"/>
        <v>67</v>
      </c>
      <c r="AA27" s="54">
        <f t="shared" si="5"/>
        <v>0</v>
      </c>
      <c r="AB27" s="54">
        <f t="shared" si="6"/>
        <v>0</v>
      </c>
      <c r="AC27" s="54">
        <f t="shared" si="7"/>
        <v>342.8</v>
      </c>
      <c r="AD27" s="54">
        <f t="shared" si="8"/>
        <v>342.8</v>
      </c>
      <c r="AE27" s="54">
        <f t="shared" si="0"/>
        <v>6942.400000000001</v>
      </c>
      <c r="AF27" s="139">
        <v>6942.400000000001</v>
      </c>
      <c r="AG27" s="140">
        <f t="shared" si="9"/>
        <v>0</v>
      </c>
    </row>
    <row r="28" spans="1:33" s="41" customFormat="1" ht="21.75" customHeight="1">
      <c r="A28" s="35">
        <v>21</v>
      </c>
      <c r="B28" s="36" t="s">
        <v>18</v>
      </c>
      <c r="C28" s="79">
        <v>5</v>
      </c>
      <c r="D28" s="66">
        <v>28</v>
      </c>
      <c r="E28" s="66">
        <v>1</v>
      </c>
      <c r="F28" s="66">
        <v>2</v>
      </c>
      <c r="G28" s="66"/>
      <c r="H28" s="66"/>
      <c r="I28" s="66"/>
      <c r="J28" s="66"/>
      <c r="K28" s="66"/>
      <c r="L28" s="113">
        <v>27450</v>
      </c>
      <c r="M28" s="113">
        <v>27450</v>
      </c>
      <c r="N28" s="113">
        <v>27450</v>
      </c>
      <c r="O28" s="113">
        <v>30615</v>
      </c>
      <c r="P28" s="113">
        <v>313095</v>
      </c>
      <c r="Q28" s="113">
        <v>313095</v>
      </c>
      <c r="R28" s="113">
        <v>313095</v>
      </c>
      <c r="S28" s="113">
        <v>313095</v>
      </c>
      <c r="T28" s="77">
        <v>3.226</v>
      </c>
      <c r="U28" s="76">
        <f>'Школы-основная'!W28</f>
        <v>1</v>
      </c>
      <c r="V28" s="81">
        <f>'Школы-средняя'!T28</f>
        <v>0.875</v>
      </c>
      <c r="W28" s="54">
        <f t="shared" si="1"/>
        <v>2169.6</v>
      </c>
      <c r="X28" s="54">
        <f t="shared" si="2"/>
        <v>24</v>
      </c>
      <c r="Y28" s="54">
        <f t="shared" si="3"/>
        <v>48</v>
      </c>
      <c r="Z28" s="54">
        <f t="shared" si="4"/>
        <v>0</v>
      </c>
      <c r="AA28" s="54">
        <f t="shared" si="5"/>
        <v>0</v>
      </c>
      <c r="AB28" s="54">
        <f t="shared" si="6"/>
        <v>0</v>
      </c>
      <c r="AC28" s="54">
        <f t="shared" si="7"/>
        <v>0</v>
      </c>
      <c r="AD28" s="54">
        <f t="shared" si="8"/>
        <v>0</v>
      </c>
      <c r="AE28" s="54">
        <f t="shared" si="0"/>
        <v>2241.6</v>
      </c>
      <c r="AF28" s="139">
        <v>2241.6</v>
      </c>
      <c r="AG28" s="140">
        <f t="shared" si="9"/>
        <v>0</v>
      </c>
    </row>
    <row r="29" spans="1:33" s="41" customFormat="1" ht="15" customHeight="1">
      <c r="A29" s="46">
        <v>22</v>
      </c>
      <c r="B29" s="36" t="s">
        <v>19</v>
      </c>
      <c r="C29" s="79">
        <v>5</v>
      </c>
      <c r="D29" s="66">
        <v>122</v>
      </c>
      <c r="E29" s="66"/>
      <c r="F29" s="66">
        <v>1</v>
      </c>
      <c r="G29" s="66"/>
      <c r="H29" s="66">
        <v>1</v>
      </c>
      <c r="I29" s="66"/>
      <c r="J29" s="66">
        <v>3</v>
      </c>
      <c r="K29" s="66"/>
      <c r="L29" s="113">
        <v>27450</v>
      </c>
      <c r="M29" s="113">
        <v>27450</v>
      </c>
      <c r="N29" s="113">
        <v>27450</v>
      </c>
      <c r="O29" s="113">
        <v>30615</v>
      </c>
      <c r="P29" s="113">
        <v>313095</v>
      </c>
      <c r="Q29" s="113">
        <v>313095</v>
      </c>
      <c r="R29" s="113">
        <v>313095</v>
      </c>
      <c r="S29" s="113">
        <v>313095</v>
      </c>
      <c r="T29" s="77">
        <v>1.22</v>
      </c>
      <c r="U29" s="76">
        <f>'Школы-основная'!W29</f>
        <v>1</v>
      </c>
      <c r="V29" s="81">
        <f>'Школы-средняя'!T29</f>
        <v>0.936</v>
      </c>
      <c r="W29" s="54">
        <f t="shared" si="1"/>
        <v>3824.2</v>
      </c>
      <c r="X29" s="54">
        <f t="shared" si="2"/>
        <v>0</v>
      </c>
      <c r="Y29" s="54">
        <f t="shared" si="3"/>
        <v>25.7</v>
      </c>
      <c r="Z29" s="54">
        <f t="shared" si="4"/>
        <v>0</v>
      </c>
      <c r="AA29" s="54">
        <f t="shared" si="5"/>
        <v>293.1</v>
      </c>
      <c r="AB29" s="54">
        <f t="shared" si="6"/>
        <v>0</v>
      </c>
      <c r="AC29" s="54">
        <f t="shared" si="7"/>
        <v>879.2</v>
      </c>
      <c r="AD29" s="54">
        <f t="shared" si="8"/>
        <v>0</v>
      </c>
      <c r="AE29" s="54">
        <f t="shared" si="0"/>
        <v>5022.2</v>
      </c>
      <c r="AF29" s="139">
        <v>5022.2</v>
      </c>
      <c r="AG29" s="140">
        <f t="shared" si="9"/>
        <v>0</v>
      </c>
    </row>
    <row r="30" spans="1:33" s="41" customFormat="1" ht="18.75" customHeight="1">
      <c r="A30" s="35">
        <v>23</v>
      </c>
      <c r="B30" s="36" t="s">
        <v>20</v>
      </c>
      <c r="C30" s="79">
        <v>6</v>
      </c>
      <c r="D30" s="66">
        <v>32</v>
      </c>
      <c r="E30" s="66">
        <v>1</v>
      </c>
      <c r="F30" s="66"/>
      <c r="G30" s="66"/>
      <c r="H30" s="66"/>
      <c r="I30" s="66"/>
      <c r="J30" s="66"/>
      <c r="K30" s="66"/>
      <c r="L30" s="113">
        <v>29391</v>
      </c>
      <c r="M30" s="113">
        <v>29391</v>
      </c>
      <c r="N30" s="113">
        <v>29391</v>
      </c>
      <c r="O30" s="113">
        <v>32874</v>
      </c>
      <c r="P30" s="113">
        <v>313095</v>
      </c>
      <c r="Q30" s="113">
        <v>313095</v>
      </c>
      <c r="R30" s="113">
        <v>313095</v>
      </c>
      <c r="S30" s="113">
        <v>313095</v>
      </c>
      <c r="T30" s="77">
        <v>3.03</v>
      </c>
      <c r="U30" s="76">
        <f>'Школы-основная'!W30</f>
        <v>1</v>
      </c>
      <c r="V30" s="81">
        <f>'Школы-средняя'!T30</f>
        <v>0.905</v>
      </c>
      <c r="W30" s="54">
        <f t="shared" si="1"/>
        <v>2579</v>
      </c>
      <c r="X30" s="54">
        <f t="shared" si="2"/>
        <v>26.6</v>
      </c>
      <c r="Y30" s="54">
        <f t="shared" si="3"/>
        <v>0</v>
      </c>
      <c r="Z30" s="54">
        <f t="shared" si="4"/>
        <v>0</v>
      </c>
      <c r="AA30" s="54">
        <f t="shared" si="5"/>
        <v>0</v>
      </c>
      <c r="AB30" s="54">
        <f t="shared" si="6"/>
        <v>0</v>
      </c>
      <c r="AC30" s="54">
        <f t="shared" si="7"/>
        <v>0</v>
      </c>
      <c r="AD30" s="54">
        <f t="shared" si="8"/>
        <v>0</v>
      </c>
      <c r="AE30" s="54">
        <f t="shared" si="0"/>
        <v>2605.6</v>
      </c>
      <c r="AF30" s="139">
        <v>2605.6</v>
      </c>
      <c r="AG30" s="140">
        <f t="shared" si="9"/>
        <v>0</v>
      </c>
    </row>
    <row r="31" spans="1:33" s="41" customFormat="1" ht="15.75">
      <c r="A31" s="46">
        <v>24</v>
      </c>
      <c r="B31" s="36" t="s">
        <v>21</v>
      </c>
      <c r="C31" s="79">
        <v>5</v>
      </c>
      <c r="D31" s="66">
        <v>14</v>
      </c>
      <c r="E31" s="66"/>
      <c r="F31" s="66"/>
      <c r="G31" s="66"/>
      <c r="H31" s="66"/>
      <c r="I31" s="66"/>
      <c r="J31" s="66"/>
      <c r="K31" s="66"/>
      <c r="L31" s="113">
        <v>27450</v>
      </c>
      <c r="M31" s="113">
        <v>27450</v>
      </c>
      <c r="N31" s="113">
        <v>27450</v>
      </c>
      <c r="O31" s="113">
        <v>30615</v>
      </c>
      <c r="P31" s="113">
        <v>313095</v>
      </c>
      <c r="Q31" s="113">
        <v>313095</v>
      </c>
      <c r="R31" s="113">
        <v>313095</v>
      </c>
      <c r="S31" s="113">
        <v>313095</v>
      </c>
      <c r="T31" s="77">
        <v>3.571</v>
      </c>
      <c r="U31" s="76">
        <f>'Школы-основная'!W31</f>
        <v>1</v>
      </c>
      <c r="V31" s="81">
        <f>'Школы-средняя'!T31</f>
        <v>0.883</v>
      </c>
      <c r="W31" s="54">
        <f t="shared" si="1"/>
        <v>1211.8</v>
      </c>
      <c r="X31" s="54">
        <f t="shared" si="2"/>
        <v>0</v>
      </c>
      <c r="Y31" s="54">
        <f t="shared" si="3"/>
        <v>0</v>
      </c>
      <c r="Z31" s="54">
        <f t="shared" si="4"/>
        <v>0</v>
      </c>
      <c r="AA31" s="54">
        <f t="shared" si="5"/>
        <v>0</v>
      </c>
      <c r="AB31" s="54">
        <f t="shared" si="6"/>
        <v>0</v>
      </c>
      <c r="AC31" s="54">
        <f t="shared" si="7"/>
        <v>0</v>
      </c>
      <c r="AD31" s="54">
        <f t="shared" si="8"/>
        <v>0</v>
      </c>
      <c r="AE31" s="54">
        <f t="shared" si="0"/>
        <v>1211.8</v>
      </c>
      <c r="AF31" s="139">
        <v>1211.8</v>
      </c>
      <c r="AG31" s="140">
        <f t="shared" si="9"/>
        <v>0</v>
      </c>
    </row>
    <row r="32" spans="1:33" s="41" customFormat="1" ht="15.75">
      <c r="A32" s="35">
        <v>25</v>
      </c>
      <c r="B32" s="36" t="s">
        <v>22</v>
      </c>
      <c r="C32" s="79">
        <v>6</v>
      </c>
      <c r="D32" s="66">
        <v>13</v>
      </c>
      <c r="E32" s="66"/>
      <c r="F32" s="66"/>
      <c r="G32" s="66"/>
      <c r="H32" s="66"/>
      <c r="I32" s="66"/>
      <c r="J32" s="66"/>
      <c r="K32" s="66"/>
      <c r="L32" s="113">
        <v>29391</v>
      </c>
      <c r="M32" s="113">
        <v>29391</v>
      </c>
      <c r="N32" s="113">
        <v>29391</v>
      </c>
      <c r="O32" s="113">
        <v>32874</v>
      </c>
      <c r="P32" s="113">
        <v>313095</v>
      </c>
      <c r="Q32" s="113">
        <v>313095</v>
      </c>
      <c r="R32" s="113">
        <v>313095</v>
      </c>
      <c r="S32" s="113">
        <v>313095</v>
      </c>
      <c r="T32" s="77">
        <v>3.846</v>
      </c>
      <c r="U32" s="76">
        <f>'Школы-основная'!W32</f>
        <v>1</v>
      </c>
      <c r="V32" s="81">
        <f>'Школы-средняя'!T32</f>
        <v>0.939</v>
      </c>
      <c r="W32" s="54">
        <f t="shared" si="1"/>
        <v>1379.9</v>
      </c>
      <c r="X32" s="54">
        <f t="shared" si="2"/>
        <v>0</v>
      </c>
      <c r="Y32" s="54">
        <f t="shared" si="3"/>
        <v>0</v>
      </c>
      <c r="Z32" s="54">
        <f t="shared" si="4"/>
        <v>0</v>
      </c>
      <c r="AA32" s="54">
        <f t="shared" si="5"/>
        <v>0</v>
      </c>
      <c r="AB32" s="54">
        <f t="shared" si="6"/>
        <v>0</v>
      </c>
      <c r="AC32" s="54">
        <f t="shared" si="7"/>
        <v>0</v>
      </c>
      <c r="AD32" s="54">
        <f t="shared" si="8"/>
        <v>0</v>
      </c>
      <c r="AE32" s="54">
        <f t="shared" si="0"/>
        <v>1379.9</v>
      </c>
      <c r="AF32" s="139">
        <v>1379.9</v>
      </c>
      <c r="AG32" s="140">
        <f t="shared" si="9"/>
        <v>0</v>
      </c>
    </row>
    <row r="33" spans="1:33" s="41" customFormat="1" ht="18" customHeight="1">
      <c r="A33" s="46">
        <v>26</v>
      </c>
      <c r="B33" s="36" t="s">
        <v>23</v>
      </c>
      <c r="C33" s="79">
        <v>5</v>
      </c>
      <c r="D33" s="66">
        <v>45</v>
      </c>
      <c r="E33" s="66"/>
      <c r="F33" s="66"/>
      <c r="G33" s="66"/>
      <c r="H33" s="66"/>
      <c r="I33" s="66"/>
      <c r="J33" s="66">
        <v>1</v>
      </c>
      <c r="K33" s="66"/>
      <c r="L33" s="113">
        <v>27450</v>
      </c>
      <c r="M33" s="113">
        <v>27450</v>
      </c>
      <c r="N33" s="113">
        <v>27450</v>
      </c>
      <c r="O33" s="113">
        <v>30615</v>
      </c>
      <c r="P33" s="113">
        <v>313095</v>
      </c>
      <c r="Q33" s="113">
        <v>313095</v>
      </c>
      <c r="R33" s="113">
        <v>313095</v>
      </c>
      <c r="S33" s="113">
        <v>313095</v>
      </c>
      <c r="T33" s="77">
        <v>2.222</v>
      </c>
      <c r="U33" s="76">
        <f>'Школы-основная'!W33</f>
        <v>1</v>
      </c>
      <c r="V33" s="81">
        <f>'Школы-средняя'!T33</f>
        <v>0.74</v>
      </c>
      <c r="W33" s="54">
        <f t="shared" si="1"/>
        <v>2031.1</v>
      </c>
      <c r="X33" s="54">
        <f t="shared" si="2"/>
        <v>0</v>
      </c>
      <c r="Y33" s="54">
        <f t="shared" si="3"/>
        <v>0</v>
      </c>
      <c r="Z33" s="54">
        <f t="shared" si="4"/>
        <v>0</v>
      </c>
      <c r="AA33" s="54">
        <f t="shared" si="5"/>
        <v>0</v>
      </c>
      <c r="AB33" s="54">
        <f t="shared" si="6"/>
        <v>0</v>
      </c>
      <c r="AC33" s="54">
        <f t="shared" si="7"/>
        <v>231.7</v>
      </c>
      <c r="AD33" s="54">
        <f t="shared" si="8"/>
        <v>0</v>
      </c>
      <c r="AE33" s="54">
        <f t="shared" si="0"/>
        <v>2262.7999999999997</v>
      </c>
      <c r="AF33" s="139">
        <v>2262.7999999999997</v>
      </c>
      <c r="AG33" s="140">
        <f t="shared" si="9"/>
        <v>0</v>
      </c>
    </row>
    <row r="34" spans="1:33" s="41" customFormat="1" ht="24" customHeight="1">
      <c r="A34" s="35">
        <v>27</v>
      </c>
      <c r="B34" s="36" t="s">
        <v>24</v>
      </c>
      <c r="C34" s="79">
        <v>5</v>
      </c>
      <c r="D34" s="66">
        <v>55</v>
      </c>
      <c r="E34" s="66"/>
      <c r="F34" s="66"/>
      <c r="G34" s="66"/>
      <c r="H34" s="66"/>
      <c r="I34" s="66"/>
      <c r="J34" s="66"/>
      <c r="K34" s="66"/>
      <c r="L34" s="113">
        <v>27450</v>
      </c>
      <c r="M34" s="113">
        <v>27450</v>
      </c>
      <c r="N34" s="113">
        <v>27450</v>
      </c>
      <c r="O34" s="113">
        <v>30615</v>
      </c>
      <c r="P34" s="113">
        <v>313095</v>
      </c>
      <c r="Q34" s="113">
        <v>313095</v>
      </c>
      <c r="R34" s="113">
        <v>313095</v>
      </c>
      <c r="S34" s="113">
        <v>313095</v>
      </c>
      <c r="T34" s="77">
        <v>2.632</v>
      </c>
      <c r="U34" s="76">
        <f>'Школы-основная'!W34</f>
        <v>1</v>
      </c>
      <c r="V34" s="81">
        <f>'Школы-средняя'!T34</f>
        <v>0.834</v>
      </c>
      <c r="W34" s="54">
        <f t="shared" si="1"/>
        <v>3314</v>
      </c>
      <c r="X34" s="54">
        <f t="shared" si="2"/>
        <v>0</v>
      </c>
      <c r="Y34" s="54">
        <f t="shared" si="3"/>
        <v>0</v>
      </c>
      <c r="Z34" s="54">
        <f t="shared" si="4"/>
        <v>0</v>
      </c>
      <c r="AA34" s="54">
        <f t="shared" si="5"/>
        <v>0</v>
      </c>
      <c r="AB34" s="54">
        <f t="shared" si="6"/>
        <v>0</v>
      </c>
      <c r="AC34" s="54">
        <f t="shared" si="7"/>
        <v>0</v>
      </c>
      <c r="AD34" s="54">
        <f t="shared" si="8"/>
        <v>0</v>
      </c>
      <c r="AE34" s="54">
        <f t="shared" si="0"/>
        <v>3314</v>
      </c>
      <c r="AF34" s="139">
        <v>3314</v>
      </c>
      <c r="AG34" s="140">
        <f t="shared" si="9"/>
        <v>0</v>
      </c>
    </row>
    <row r="35" spans="1:33" s="41" customFormat="1" ht="18" customHeight="1">
      <c r="A35" s="46">
        <v>28</v>
      </c>
      <c r="B35" s="36" t="s">
        <v>25</v>
      </c>
      <c r="C35" s="79">
        <v>5</v>
      </c>
      <c r="D35" s="66">
        <v>20</v>
      </c>
      <c r="E35" s="66"/>
      <c r="F35" s="66"/>
      <c r="G35" s="66">
        <v>1</v>
      </c>
      <c r="H35" s="66"/>
      <c r="I35" s="66"/>
      <c r="J35" s="66"/>
      <c r="K35" s="66"/>
      <c r="L35" s="113">
        <v>27450</v>
      </c>
      <c r="M35" s="113">
        <v>27450</v>
      </c>
      <c r="N35" s="113">
        <v>27450</v>
      </c>
      <c r="O35" s="113">
        <v>30615</v>
      </c>
      <c r="P35" s="113">
        <v>313095</v>
      </c>
      <c r="Q35" s="113">
        <v>313095</v>
      </c>
      <c r="R35" s="113">
        <v>313095</v>
      </c>
      <c r="S35" s="113">
        <v>313095</v>
      </c>
      <c r="T35" s="77">
        <v>2.381</v>
      </c>
      <c r="U35" s="76">
        <f>'Школы-основная'!W35</f>
        <v>1</v>
      </c>
      <c r="V35" s="81">
        <f>'Школы-средняя'!T35</f>
        <v>0.816</v>
      </c>
      <c r="W35" s="54">
        <f>ROUND(D35*L35*T35*V35*U35/1000,1)-1+0.2</f>
        <v>1065.8</v>
      </c>
      <c r="X35" s="54">
        <f t="shared" si="2"/>
        <v>0</v>
      </c>
      <c r="Y35" s="54">
        <f t="shared" si="3"/>
        <v>0</v>
      </c>
      <c r="Z35" s="54">
        <f t="shared" si="4"/>
        <v>25</v>
      </c>
      <c r="AA35" s="54">
        <f t="shared" si="5"/>
        <v>0</v>
      </c>
      <c r="AB35" s="54">
        <f t="shared" si="6"/>
        <v>0</v>
      </c>
      <c r="AC35" s="54">
        <f t="shared" si="7"/>
        <v>0</v>
      </c>
      <c r="AD35" s="54">
        <f t="shared" si="8"/>
        <v>0</v>
      </c>
      <c r="AE35" s="54">
        <f t="shared" si="0"/>
        <v>1090.8</v>
      </c>
      <c r="AF35" s="139">
        <v>1090.8</v>
      </c>
      <c r="AG35" s="140">
        <f t="shared" si="9"/>
        <v>0</v>
      </c>
    </row>
    <row r="36" spans="1:33" s="41" customFormat="1" ht="18.75" customHeight="1">
      <c r="A36" s="35">
        <v>29</v>
      </c>
      <c r="B36" s="36" t="s">
        <v>26</v>
      </c>
      <c r="C36" s="79">
        <v>6</v>
      </c>
      <c r="D36" s="66">
        <v>33</v>
      </c>
      <c r="E36" s="66"/>
      <c r="F36" s="66"/>
      <c r="G36" s="66"/>
      <c r="H36" s="66"/>
      <c r="I36" s="66"/>
      <c r="J36" s="66"/>
      <c r="K36" s="66"/>
      <c r="L36" s="113">
        <v>29391</v>
      </c>
      <c r="M36" s="113">
        <v>29391</v>
      </c>
      <c r="N36" s="113">
        <v>29391</v>
      </c>
      <c r="O36" s="113">
        <v>3284</v>
      </c>
      <c r="P36" s="113">
        <v>313095</v>
      </c>
      <c r="Q36" s="113">
        <v>313095</v>
      </c>
      <c r="R36" s="113">
        <v>313095</v>
      </c>
      <c r="S36" s="113">
        <v>313095</v>
      </c>
      <c r="T36" s="77">
        <v>3.03</v>
      </c>
      <c r="U36" s="76">
        <f>'Школы-основная'!W36</f>
        <v>1</v>
      </c>
      <c r="V36" s="81">
        <f>'Школы-средняя'!T36</f>
        <v>0.9222</v>
      </c>
      <c r="W36" s="54">
        <f t="shared" si="1"/>
        <v>2710.2</v>
      </c>
      <c r="X36" s="54">
        <f t="shared" si="2"/>
        <v>0</v>
      </c>
      <c r="Y36" s="54">
        <f t="shared" si="3"/>
        <v>0</v>
      </c>
      <c r="Z36" s="54">
        <f t="shared" si="4"/>
        <v>0</v>
      </c>
      <c r="AA36" s="54">
        <f t="shared" si="5"/>
        <v>0</v>
      </c>
      <c r="AB36" s="54">
        <f t="shared" si="6"/>
        <v>0</v>
      </c>
      <c r="AC36" s="54">
        <f t="shared" si="7"/>
        <v>0</v>
      </c>
      <c r="AD36" s="54">
        <f t="shared" si="8"/>
        <v>0</v>
      </c>
      <c r="AE36" s="54">
        <f t="shared" si="0"/>
        <v>2710.2</v>
      </c>
      <c r="AF36" s="139">
        <v>2710.2</v>
      </c>
      <c r="AG36" s="140">
        <f t="shared" si="9"/>
        <v>0</v>
      </c>
    </row>
    <row r="37" spans="1:33" s="41" customFormat="1" ht="32.25" customHeight="1">
      <c r="A37" s="46">
        <v>30</v>
      </c>
      <c r="B37" s="36" t="s">
        <v>27</v>
      </c>
      <c r="C37" s="79">
        <v>6</v>
      </c>
      <c r="D37" s="66">
        <v>20</v>
      </c>
      <c r="E37" s="66"/>
      <c r="F37" s="66"/>
      <c r="G37" s="66"/>
      <c r="H37" s="66"/>
      <c r="I37" s="66"/>
      <c r="J37" s="66"/>
      <c r="K37" s="66"/>
      <c r="L37" s="113">
        <v>29391</v>
      </c>
      <c r="M37" s="113">
        <v>29391</v>
      </c>
      <c r="N37" s="113">
        <v>29391</v>
      </c>
      <c r="O37" s="113">
        <v>32874</v>
      </c>
      <c r="P37" s="113">
        <v>313095</v>
      </c>
      <c r="Q37" s="113">
        <v>313095</v>
      </c>
      <c r="R37" s="113">
        <v>313095</v>
      </c>
      <c r="S37" s="113">
        <v>313095</v>
      </c>
      <c r="T37" s="77">
        <v>2.5</v>
      </c>
      <c r="U37" s="76">
        <f>'Школы-основная'!W37</f>
        <v>1</v>
      </c>
      <c r="V37" s="81">
        <f>'Школы-средняя'!T37</f>
        <v>0.91</v>
      </c>
      <c r="W37" s="54">
        <f t="shared" si="1"/>
        <v>1337.3</v>
      </c>
      <c r="X37" s="54">
        <f t="shared" si="2"/>
        <v>0</v>
      </c>
      <c r="Y37" s="54">
        <f t="shared" si="3"/>
        <v>0</v>
      </c>
      <c r="Z37" s="54">
        <f t="shared" si="4"/>
        <v>0</v>
      </c>
      <c r="AA37" s="54">
        <f t="shared" si="5"/>
        <v>0</v>
      </c>
      <c r="AB37" s="54">
        <f t="shared" si="6"/>
        <v>0</v>
      </c>
      <c r="AC37" s="54">
        <f t="shared" si="7"/>
        <v>0</v>
      </c>
      <c r="AD37" s="54">
        <f t="shared" si="8"/>
        <v>0</v>
      </c>
      <c r="AE37" s="54">
        <f t="shared" si="0"/>
        <v>1337.3</v>
      </c>
      <c r="AF37" s="139">
        <v>1337.3</v>
      </c>
      <c r="AG37" s="140">
        <f t="shared" si="9"/>
        <v>0</v>
      </c>
    </row>
    <row r="38" spans="1:33" s="41" customFormat="1" ht="31.5">
      <c r="A38" s="35">
        <v>31</v>
      </c>
      <c r="B38" s="36" t="s">
        <v>28</v>
      </c>
      <c r="C38" s="79">
        <v>5</v>
      </c>
      <c r="D38" s="66">
        <v>47</v>
      </c>
      <c r="E38" s="66"/>
      <c r="F38" s="66"/>
      <c r="G38" s="66"/>
      <c r="H38" s="66"/>
      <c r="I38" s="66"/>
      <c r="J38" s="66"/>
      <c r="K38" s="66"/>
      <c r="L38" s="113">
        <v>27450</v>
      </c>
      <c r="M38" s="113">
        <v>27450</v>
      </c>
      <c r="N38" s="113">
        <v>27450</v>
      </c>
      <c r="O38" s="113">
        <v>30615</v>
      </c>
      <c r="P38" s="113">
        <v>313095</v>
      </c>
      <c r="Q38" s="113">
        <v>313095</v>
      </c>
      <c r="R38" s="113">
        <v>313095</v>
      </c>
      <c r="S38" s="113">
        <v>313095</v>
      </c>
      <c r="T38" s="77">
        <v>2.128</v>
      </c>
      <c r="U38" s="76">
        <f>'Школы-основная'!W38</f>
        <v>1</v>
      </c>
      <c r="V38" s="81">
        <f>'Школы-средняя'!T38</f>
        <v>0.985</v>
      </c>
      <c r="W38" s="54">
        <f t="shared" si="1"/>
        <v>2704.3</v>
      </c>
      <c r="X38" s="54">
        <f t="shared" si="2"/>
        <v>0</v>
      </c>
      <c r="Y38" s="54">
        <f t="shared" si="3"/>
        <v>0</v>
      </c>
      <c r="Z38" s="54">
        <f t="shared" si="4"/>
        <v>0</v>
      </c>
      <c r="AA38" s="54">
        <f t="shared" si="5"/>
        <v>0</v>
      </c>
      <c r="AB38" s="54">
        <f t="shared" si="6"/>
        <v>0</v>
      </c>
      <c r="AC38" s="54">
        <f t="shared" si="7"/>
        <v>0</v>
      </c>
      <c r="AD38" s="54">
        <f t="shared" si="8"/>
        <v>0</v>
      </c>
      <c r="AE38" s="54">
        <f t="shared" si="0"/>
        <v>2704.3</v>
      </c>
      <c r="AF38" s="139">
        <v>2704.3</v>
      </c>
      <c r="AG38" s="140">
        <f t="shared" si="9"/>
        <v>0</v>
      </c>
    </row>
    <row r="39" spans="1:33" s="41" customFormat="1" ht="15.75">
      <c r="A39" s="46">
        <v>32</v>
      </c>
      <c r="B39" s="36" t="s">
        <v>29</v>
      </c>
      <c r="C39" s="79">
        <v>5</v>
      </c>
      <c r="D39" s="66">
        <v>33</v>
      </c>
      <c r="E39" s="66"/>
      <c r="F39" s="66"/>
      <c r="G39" s="66">
        <v>1</v>
      </c>
      <c r="H39" s="66"/>
      <c r="I39" s="66"/>
      <c r="J39" s="66">
        <v>2</v>
      </c>
      <c r="K39" s="66"/>
      <c r="L39" s="113">
        <v>27450</v>
      </c>
      <c r="M39" s="113">
        <v>27450</v>
      </c>
      <c r="N39" s="113">
        <v>27450</v>
      </c>
      <c r="O39" s="113">
        <v>30615</v>
      </c>
      <c r="P39" s="113">
        <v>313095</v>
      </c>
      <c r="Q39" s="113">
        <v>313095</v>
      </c>
      <c r="R39" s="113">
        <v>313095</v>
      </c>
      <c r="S39" s="113">
        <v>313095</v>
      </c>
      <c r="T39" s="77">
        <v>2.941</v>
      </c>
      <c r="U39" s="76">
        <f>'Школы-основная'!W39</f>
        <v>1</v>
      </c>
      <c r="V39" s="81">
        <f>'Школы-средняя'!T39</f>
        <v>0.761</v>
      </c>
      <c r="W39" s="54">
        <f>ROUND(D39*L39*T39*V39*U39/1000,1)-1+0.3</f>
        <v>2026.7</v>
      </c>
      <c r="X39" s="54">
        <f t="shared" si="2"/>
        <v>0</v>
      </c>
      <c r="Y39" s="54">
        <f t="shared" si="3"/>
        <v>0</v>
      </c>
      <c r="Z39" s="54">
        <f t="shared" si="4"/>
        <v>23.3</v>
      </c>
      <c r="AA39" s="54">
        <f t="shared" si="5"/>
        <v>0</v>
      </c>
      <c r="AB39" s="54">
        <f t="shared" si="6"/>
        <v>0</v>
      </c>
      <c r="AC39" s="54">
        <f t="shared" si="7"/>
        <v>476.5</v>
      </c>
      <c r="AD39" s="54">
        <f t="shared" si="8"/>
        <v>0</v>
      </c>
      <c r="AE39" s="54">
        <f t="shared" si="0"/>
        <v>2526.5</v>
      </c>
      <c r="AF39" s="139">
        <v>2526.5</v>
      </c>
      <c r="AG39" s="140">
        <f t="shared" si="9"/>
        <v>0</v>
      </c>
    </row>
    <row r="40" spans="1:33" s="41" customFormat="1" ht="31.5">
      <c r="A40" s="35">
        <v>33</v>
      </c>
      <c r="B40" s="36" t="s">
        <v>30</v>
      </c>
      <c r="C40" s="79">
        <v>6</v>
      </c>
      <c r="D40" s="66">
        <v>16</v>
      </c>
      <c r="E40" s="66"/>
      <c r="F40" s="66"/>
      <c r="G40" s="66"/>
      <c r="H40" s="66"/>
      <c r="I40" s="66"/>
      <c r="J40" s="66">
        <v>1</v>
      </c>
      <c r="K40" s="66"/>
      <c r="L40" s="113">
        <v>29391</v>
      </c>
      <c r="M40" s="113">
        <v>29391</v>
      </c>
      <c r="N40" s="113">
        <v>29391</v>
      </c>
      <c r="O40" s="113">
        <v>32874</v>
      </c>
      <c r="P40" s="113">
        <v>313095</v>
      </c>
      <c r="Q40" s="113">
        <v>313095</v>
      </c>
      <c r="R40" s="113">
        <v>313095</v>
      </c>
      <c r="S40" s="113">
        <v>313095</v>
      </c>
      <c r="T40" s="77">
        <v>3.125</v>
      </c>
      <c r="U40" s="76">
        <f>'Школы-основная'!W40</f>
        <v>1</v>
      </c>
      <c r="V40" s="81">
        <f>'Школы-средняя'!T40</f>
        <v>0.663</v>
      </c>
      <c r="W40" s="54">
        <f t="shared" si="1"/>
        <v>974.3</v>
      </c>
      <c r="X40" s="54">
        <f t="shared" si="2"/>
        <v>0</v>
      </c>
      <c r="Y40" s="54">
        <f t="shared" si="3"/>
        <v>0</v>
      </c>
      <c r="Z40" s="54">
        <f t="shared" si="4"/>
        <v>0</v>
      </c>
      <c r="AA40" s="54">
        <f t="shared" si="5"/>
        <v>0</v>
      </c>
      <c r="AB40" s="54">
        <f t="shared" si="6"/>
        <v>0</v>
      </c>
      <c r="AC40" s="54">
        <f t="shared" si="7"/>
        <v>207.6</v>
      </c>
      <c r="AD40" s="54">
        <f t="shared" si="8"/>
        <v>0</v>
      </c>
      <c r="AE40" s="54">
        <f t="shared" si="0"/>
        <v>1181.8999999999999</v>
      </c>
      <c r="AF40" s="139">
        <v>1181.8999999999999</v>
      </c>
      <c r="AG40" s="140">
        <f t="shared" si="9"/>
        <v>0</v>
      </c>
    </row>
    <row r="41" spans="1:33" s="41" customFormat="1" ht="18.75" customHeight="1">
      <c r="A41" s="46">
        <v>34</v>
      </c>
      <c r="B41" s="36" t="s">
        <v>31</v>
      </c>
      <c r="C41" s="79">
        <v>5</v>
      </c>
      <c r="D41" s="66">
        <v>84</v>
      </c>
      <c r="E41" s="66"/>
      <c r="F41" s="66"/>
      <c r="G41" s="66">
        <v>5</v>
      </c>
      <c r="H41" s="66"/>
      <c r="I41" s="66"/>
      <c r="J41" s="66"/>
      <c r="K41" s="66">
        <v>2</v>
      </c>
      <c r="L41" s="113">
        <v>27450</v>
      </c>
      <c r="M41" s="113">
        <v>27450</v>
      </c>
      <c r="N41" s="113">
        <v>27450</v>
      </c>
      <c r="O41" s="113">
        <v>30615</v>
      </c>
      <c r="P41" s="113">
        <v>313095</v>
      </c>
      <c r="Q41" s="113">
        <v>313095</v>
      </c>
      <c r="R41" s="113">
        <v>313095</v>
      </c>
      <c r="S41" s="113">
        <v>313095</v>
      </c>
      <c r="T41" s="77">
        <v>1.404</v>
      </c>
      <c r="U41" s="76">
        <f>'Школы-основная'!W41</f>
        <v>1.014</v>
      </c>
      <c r="V41" s="81">
        <f>'Школы-средняя'!T41</f>
        <v>1</v>
      </c>
      <c r="W41" s="54">
        <f>ROUND(D41*L41*T41*V41*U41/1000,1)-5+0.1</f>
        <v>3277.7999999999997</v>
      </c>
      <c r="X41" s="54">
        <f t="shared" si="2"/>
        <v>0</v>
      </c>
      <c r="Y41" s="54">
        <f t="shared" si="3"/>
        <v>0</v>
      </c>
      <c r="Z41" s="54">
        <f t="shared" si="4"/>
        <v>155.2</v>
      </c>
      <c r="AA41" s="54">
        <f t="shared" si="5"/>
        <v>0</v>
      </c>
      <c r="AB41" s="54">
        <f t="shared" si="6"/>
        <v>0</v>
      </c>
      <c r="AC41" s="54">
        <f t="shared" si="7"/>
        <v>0</v>
      </c>
      <c r="AD41" s="54">
        <f t="shared" si="8"/>
        <v>635</v>
      </c>
      <c r="AE41" s="54">
        <f t="shared" si="0"/>
        <v>4067.9999999999995</v>
      </c>
      <c r="AF41" s="139">
        <v>4068</v>
      </c>
      <c r="AG41" s="140">
        <f t="shared" si="9"/>
        <v>0</v>
      </c>
    </row>
    <row r="42" spans="1:33" s="41" customFormat="1" ht="36.75" customHeight="1">
      <c r="A42" s="35">
        <v>35</v>
      </c>
      <c r="B42" s="36" t="s">
        <v>32</v>
      </c>
      <c r="C42" s="79">
        <v>5</v>
      </c>
      <c r="D42" s="66">
        <v>112</v>
      </c>
      <c r="E42" s="66"/>
      <c r="F42" s="66"/>
      <c r="G42" s="66">
        <v>2</v>
      </c>
      <c r="H42" s="66"/>
      <c r="I42" s="66"/>
      <c r="J42" s="66"/>
      <c r="K42" s="66"/>
      <c r="L42" s="113">
        <v>27450</v>
      </c>
      <c r="M42" s="113">
        <v>27450</v>
      </c>
      <c r="N42" s="113">
        <v>27450</v>
      </c>
      <c r="O42" s="113">
        <v>30615</v>
      </c>
      <c r="P42" s="113">
        <v>313095</v>
      </c>
      <c r="Q42" s="113">
        <v>313095</v>
      </c>
      <c r="R42" s="113">
        <v>313095</v>
      </c>
      <c r="S42" s="113">
        <v>313095</v>
      </c>
      <c r="T42" s="77">
        <v>1.535</v>
      </c>
      <c r="U42" s="76">
        <f>'Школы-основная'!W42</f>
        <v>1.122</v>
      </c>
      <c r="V42" s="81">
        <f>'Школы-средняя'!T42</f>
        <v>1</v>
      </c>
      <c r="W42" s="54">
        <f>ROUND(D42*L42*T42*V42*U42/1000,1)-2-0.2</f>
        <v>5292.7</v>
      </c>
      <c r="X42" s="54">
        <f t="shared" si="2"/>
        <v>0</v>
      </c>
      <c r="Y42" s="54">
        <f t="shared" si="3"/>
        <v>0</v>
      </c>
      <c r="Z42" s="54">
        <f t="shared" si="4"/>
        <v>68.7</v>
      </c>
      <c r="AA42" s="54">
        <f t="shared" si="5"/>
        <v>0</v>
      </c>
      <c r="AB42" s="54">
        <f t="shared" si="6"/>
        <v>0</v>
      </c>
      <c r="AC42" s="54">
        <f t="shared" si="7"/>
        <v>0</v>
      </c>
      <c r="AD42" s="54">
        <f t="shared" si="8"/>
        <v>0</v>
      </c>
      <c r="AE42" s="54">
        <f t="shared" si="0"/>
        <v>5361.4</v>
      </c>
      <c r="AF42" s="139">
        <v>5361.4</v>
      </c>
      <c r="AG42" s="140">
        <f t="shared" si="9"/>
        <v>0</v>
      </c>
    </row>
    <row r="43" spans="1:33" s="41" customFormat="1" ht="29.25" customHeight="1">
      <c r="A43" s="46">
        <v>36</v>
      </c>
      <c r="B43" s="36" t="s">
        <v>33</v>
      </c>
      <c r="C43" s="79">
        <v>5</v>
      </c>
      <c r="D43" s="66">
        <v>75</v>
      </c>
      <c r="E43" s="66">
        <v>2</v>
      </c>
      <c r="F43" s="66"/>
      <c r="G43" s="66">
        <v>1</v>
      </c>
      <c r="H43" s="66"/>
      <c r="I43" s="66"/>
      <c r="J43" s="66">
        <v>1</v>
      </c>
      <c r="K43" s="66"/>
      <c r="L43" s="113">
        <v>27450</v>
      </c>
      <c r="M43" s="113">
        <v>27450</v>
      </c>
      <c r="N43" s="113">
        <v>27450</v>
      </c>
      <c r="O43" s="113">
        <v>30615</v>
      </c>
      <c r="P43" s="113">
        <v>313095</v>
      </c>
      <c r="Q43" s="113">
        <v>313095</v>
      </c>
      <c r="R43" s="113">
        <v>313095</v>
      </c>
      <c r="S43" s="113">
        <v>313095</v>
      </c>
      <c r="T43" s="77">
        <v>1.282</v>
      </c>
      <c r="U43" s="76">
        <f>'Школы-основная'!W43</f>
        <v>1</v>
      </c>
      <c r="V43" s="81">
        <f>'Школы-средняя'!T43</f>
        <v>0.923</v>
      </c>
      <c r="W43" s="54">
        <f>ROUND(D43*L43*T43*V43*U43/1000,1)-1+0.1</f>
        <v>2435.2</v>
      </c>
      <c r="X43" s="54">
        <f t="shared" si="2"/>
        <v>50.7</v>
      </c>
      <c r="Y43" s="54">
        <f t="shared" si="3"/>
        <v>0</v>
      </c>
      <c r="Z43" s="54">
        <f t="shared" si="4"/>
        <v>28.3</v>
      </c>
      <c r="AA43" s="54">
        <f t="shared" si="5"/>
        <v>0</v>
      </c>
      <c r="AB43" s="54">
        <f t="shared" si="6"/>
        <v>0</v>
      </c>
      <c r="AC43" s="54">
        <f t="shared" si="7"/>
        <v>289</v>
      </c>
      <c r="AD43" s="54">
        <f t="shared" si="8"/>
        <v>0</v>
      </c>
      <c r="AE43" s="54">
        <f t="shared" si="0"/>
        <v>2803.2</v>
      </c>
      <c r="AF43" s="139">
        <v>2803.2</v>
      </c>
      <c r="AG43" s="140">
        <f t="shared" si="9"/>
        <v>0</v>
      </c>
    </row>
    <row r="44" spans="1:33" s="41" customFormat="1" ht="29.25" customHeight="1">
      <c r="A44" s="35">
        <v>37</v>
      </c>
      <c r="B44" s="36" t="s">
        <v>34</v>
      </c>
      <c r="C44" s="79">
        <v>6</v>
      </c>
      <c r="D44" s="66">
        <v>34</v>
      </c>
      <c r="E44" s="66"/>
      <c r="F44" s="66"/>
      <c r="G44" s="66">
        <v>5</v>
      </c>
      <c r="H44" s="66"/>
      <c r="I44" s="66"/>
      <c r="J44" s="66"/>
      <c r="K44" s="66"/>
      <c r="L44" s="113">
        <v>29391</v>
      </c>
      <c r="M44" s="113">
        <v>29391</v>
      </c>
      <c r="N44" s="113">
        <v>29391</v>
      </c>
      <c r="O44" s="113">
        <v>32874</v>
      </c>
      <c r="P44" s="113">
        <v>313095</v>
      </c>
      <c r="Q44" s="113">
        <v>313095</v>
      </c>
      <c r="R44" s="113">
        <v>313095</v>
      </c>
      <c r="S44" s="113">
        <v>313095</v>
      </c>
      <c r="T44" s="77">
        <v>2.564</v>
      </c>
      <c r="U44" s="76">
        <f>'Школы-основная'!W44</f>
        <v>1</v>
      </c>
      <c r="V44" s="81">
        <f>'Школы-средняя'!T44</f>
        <v>0.831</v>
      </c>
      <c r="W44" s="54">
        <f>ROUND(D44*L44*T44*V44*U44/1000,1)-5+0.5</f>
        <v>2124.7</v>
      </c>
      <c r="X44" s="54">
        <f t="shared" si="2"/>
        <v>0</v>
      </c>
      <c r="Y44" s="54">
        <f t="shared" si="3"/>
        <v>0</v>
      </c>
      <c r="Z44" s="54">
        <f t="shared" si="4"/>
        <v>136.6</v>
      </c>
      <c r="AA44" s="54">
        <f t="shared" si="5"/>
        <v>0</v>
      </c>
      <c r="AB44" s="54">
        <f t="shared" si="6"/>
        <v>0</v>
      </c>
      <c r="AC44" s="54">
        <f t="shared" si="7"/>
        <v>0</v>
      </c>
      <c r="AD44" s="54">
        <f t="shared" si="8"/>
        <v>0</v>
      </c>
      <c r="AE44" s="54">
        <f t="shared" si="0"/>
        <v>2261.2999999999997</v>
      </c>
      <c r="AF44" s="139">
        <v>2261.2999999999997</v>
      </c>
      <c r="AG44" s="140">
        <f t="shared" si="9"/>
        <v>0</v>
      </c>
    </row>
    <row r="45" spans="1:33" s="41" customFormat="1" ht="31.5">
      <c r="A45" s="46">
        <v>38</v>
      </c>
      <c r="B45" s="36" t="s">
        <v>35</v>
      </c>
      <c r="C45" s="79">
        <v>5</v>
      </c>
      <c r="D45" s="116">
        <v>22</v>
      </c>
      <c r="E45" s="66"/>
      <c r="F45" s="66"/>
      <c r="G45" s="66"/>
      <c r="H45" s="66"/>
      <c r="I45" s="66"/>
      <c r="J45" s="66"/>
      <c r="K45" s="66"/>
      <c r="L45" s="113">
        <v>27450</v>
      </c>
      <c r="M45" s="113">
        <v>27450</v>
      </c>
      <c r="N45" s="113">
        <v>27450</v>
      </c>
      <c r="O45" s="113">
        <v>30615</v>
      </c>
      <c r="P45" s="113">
        <v>313095</v>
      </c>
      <c r="Q45" s="113">
        <v>313095</v>
      </c>
      <c r="R45" s="113">
        <v>313095</v>
      </c>
      <c r="S45" s="113">
        <v>313095</v>
      </c>
      <c r="T45" s="77">
        <v>2.273</v>
      </c>
      <c r="U45" s="76">
        <f>'Школы-основная'!W45</f>
        <v>1</v>
      </c>
      <c r="V45" s="81">
        <f>'Школы-средняя'!T45</f>
        <v>0.954</v>
      </c>
      <c r="W45" s="54">
        <f t="shared" si="1"/>
        <v>1309.5</v>
      </c>
      <c r="X45" s="54">
        <f t="shared" si="2"/>
        <v>0</v>
      </c>
      <c r="Y45" s="54">
        <f t="shared" si="3"/>
        <v>0</v>
      </c>
      <c r="Z45" s="54">
        <f t="shared" si="4"/>
        <v>0</v>
      </c>
      <c r="AA45" s="54">
        <f t="shared" si="5"/>
        <v>0</v>
      </c>
      <c r="AB45" s="54">
        <f t="shared" si="6"/>
        <v>0</v>
      </c>
      <c r="AC45" s="54">
        <f t="shared" si="7"/>
        <v>0</v>
      </c>
      <c r="AD45" s="54">
        <f t="shared" si="8"/>
        <v>0</v>
      </c>
      <c r="AE45" s="54">
        <f t="shared" si="0"/>
        <v>1309.5</v>
      </c>
      <c r="AF45" s="139">
        <v>1309.5</v>
      </c>
      <c r="AG45" s="140">
        <f t="shared" si="9"/>
        <v>0</v>
      </c>
    </row>
    <row r="46" spans="1:33" s="41" customFormat="1" ht="32.25" thickBot="1">
      <c r="A46" s="35">
        <v>39</v>
      </c>
      <c r="B46" s="49" t="s">
        <v>36</v>
      </c>
      <c r="C46" s="79">
        <v>5</v>
      </c>
      <c r="D46" s="117">
        <v>31</v>
      </c>
      <c r="E46" s="66"/>
      <c r="F46" s="66"/>
      <c r="G46" s="66"/>
      <c r="H46" s="66"/>
      <c r="I46" s="66"/>
      <c r="J46" s="66"/>
      <c r="K46" s="66"/>
      <c r="L46" s="113">
        <v>27450</v>
      </c>
      <c r="M46" s="113">
        <v>27450</v>
      </c>
      <c r="N46" s="113">
        <v>27450</v>
      </c>
      <c r="O46" s="113">
        <v>30615</v>
      </c>
      <c r="P46" s="113">
        <v>313095</v>
      </c>
      <c r="Q46" s="113">
        <v>313095</v>
      </c>
      <c r="R46" s="113">
        <v>313095</v>
      </c>
      <c r="S46" s="113">
        <v>313095</v>
      </c>
      <c r="T46" s="77">
        <v>2.419</v>
      </c>
      <c r="U46" s="76">
        <f>'Школы-основная'!W46</f>
        <v>1</v>
      </c>
      <c r="V46" s="81">
        <f>'Школы-средняя'!T46</f>
        <v>0.85</v>
      </c>
      <c r="W46" s="54">
        <f t="shared" si="1"/>
        <v>1749.7</v>
      </c>
      <c r="X46" s="54">
        <f t="shared" si="2"/>
        <v>0</v>
      </c>
      <c r="Y46" s="54">
        <f t="shared" si="3"/>
        <v>0</v>
      </c>
      <c r="Z46" s="54">
        <f t="shared" si="4"/>
        <v>0</v>
      </c>
      <c r="AA46" s="54">
        <f t="shared" si="5"/>
        <v>0</v>
      </c>
      <c r="AB46" s="54">
        <f t="shared" si="6"/>
        <v>0</v>
      </c>
      <c r="AC46" s="54">
        <f t="shared" si="7"/>
        <v>0</v>
      </c>
      <c r="AD46" s="54">
        <f t="shared" si="8"/>
        <v>0</v>
      </c>
      <c r="AE46" s="54">
        <f t="shared" si="0"/>
        <v>1749.7</v>
      </c>
      <c r="AF46" s="139">
        <v>1749.7</v>
      </c>
      <c r="AG46" s="140">
        <f t="shared" si="9"/>
        <v>0</v>
      </c>
    </row>
    <row r="47" spans="1:33" s="41" customFormat="1" ht="51.75" customHeight="1" thickBot="1">
      <c r="A47" s="50"/>
      <c r="B47" s="80" t="s">
        <v>77</v>
      </c>
      <c r="C47" s="51"/>
      <c r="D47" s="52">
        <f>SUM(D8:D46)</f>
        <v>4127</v>
      </c>
      <c r="E47" s="52">
        <f aca="true" t="shared" si="10" ref="E47:K47">SUM(E8:E46)</f>
        <v>19</v>
      </c>
      <c r="F47" s="52">
        <f>SUM(F8:F46)</f>
        <v>10</v>
      </c>
      <c r="G47" s="52">
        <f>SUM(G8:G46)</f>
        <v>55</v>
      </c>
      <c r="H47" s="52">
        <f t="shared" si="10"/>
        <v>10</v>
      </c>
      <c r="I47" s="52">
        <f t="shared" si="10"/>
        <v>1</v>
      </c>
      <c r="J47" s="52">
        <f t="shared" si="10"/>
        <v>30</v>
      </c>
      <c r="K47" s="52">
        <f t="shared" si="10"/>
        <v>18</v>
      </c>
      <c r="L47" s="52"/>
      <c r="M47" s="52"/>
      <c r="N47" s="52"/>
      <c r="O47" s="52"/>
      <c r="P47" s="52"/>
      <c r="Q47" s="52"/>
      <c r="R47" s="52"/>
      <c r="S47" s="53"/>
      <c r="T47" s="75"/>
      <c r="U47" s="75"/>
      <c r="V47" s="75"/>
      <c r="W47" s="54">
        <f>SUM(W8:W46)</f>
        <v>135029.1</v>
      </c>
      <c r="X47" s="54">
        <f aca="true" t="shared" si="11" ref="X47:AG47">SUM(X8:X46)</f>
        <v>492.00000000000006</v>
      </c>
      <c r="Y47" s="54">
        <f t="shared" si="11"/>
        <v>231.6</v>
      </c>
      <c r="Z47" s="54">
        <f t="shared" si="11"/>
        <v>1471.3000000000002</v>
      </c>
      <c r="AA47" s="54">
        <f t="shared" si="11"/>
        <v>2635</v>
      </c>
      <c r="AB47" s="54">
        <f t="shared" si="11"/>
        <v>227.5</v>
      </c>
      <c r="AC47" s="54">
        <f t="shared" si="11"/>
        <v>8235</v>
      </c>
      <c r="AD47" s="54">
        <f t="shared" si="11"/>
        <v>4952.200000000001</v>
      </c>
      <c r="AE47" s="54">
        <f t="shared" si="11"/>
        <v>153273.7</v>
      </c>
      <c r="AF47" s="54">
        <f t="shared" si="11"/>
        <v>153273.7</v>
      </c>
      <c r="AG47" s="141">
        <f t="shared" si="11"/>
        <v>0</v>
      </c>
    </row>
    <row r="48" spans="1:33" s="6" customFormat="1" ht="18" customHeight="1">
      <c r="A48" s="9"/>
      <c r="B48" s="10"/>
      <c r="C48" s="10"/>
      <c r="D48" s="24">
        <f>SUM(D47:K47)</f>
        <v>4270</v>
      </c>
      <c r="E48" s="10"/>
      <c r="F48" s="10"/>
      <c r="G48" s="10"/>
      <c r="H48" s="10"/>
      <c r="I48" s="10"/>
      <c r="J48" s="10"/>
      <c r="K48" s="1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AE48" s="55">
        <f>SUM(W47:AD47)</f>
        <v>153273.7</v>
      </c>
      <c r="AF48" s="67"/>
      <c r="AG48" s="67"/>
    </row>
    <row r="49" spans="1:33" s="6" customFormat="1" ht="15.75">
      <c r="A49" s="12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AF49" s="67"/>
      <c r="AG49" s="67"/>
    </row>
    <row r="50" spans="1:33" s="6" customFormat="1" ht="15.75">
      <c r="A50" s="12"/>
      <c r="B50" s="13"/>
      <c r="C50" s="13"/>
      <c r="D50" s="14">
        <f>D48+'Школы-основная'!D48+'Школы-средняя'!D48</f>
        <v>9386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AE50" s="55">
        <v>149462.2</v>
      </c>
      <c r="AF50" s="67"/>
      <c r="AG50" s="67"/>
    </row>
    <row r="51" spans="1:33" s="6" customFormat="1" ht="15.75">
      <c r="A51" s="12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AF51" s="67"/>
      <c r="AG51" s="67"/>
    </row>
    <row r="52" spans="1:33" s="6" customFormat="1" ht="15.75">
      <c r="A52" s="12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AF52" s="67"/>
      <c r="AG52" s="67"/>
    </row>
    <row r="53" spans="1:33" s="6" customFormat="1" ht="15.75">
      <c r="A53" s="12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AF53" s="67"/>
      <c r="AG53" s="67"/>
    </row>
    <row r="54" spans="1:33" s="6" customFormat="1" ht="15.75">
      <c r="A54" s="12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AF54" s="67"/>
      <c r="AG54" s="67"/>
    </row>
    <row r="55" spans="1:33" s="6" customFormat="1" ht="16.5" customHeight="1">
      <c r="A55" s="12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AF55" s="67"/>
      <c r="AG55" s="67"/>
    </row>
    <row r="56" spans="1:33" s="6" customFormat="1" ht="15.75">
      <c r="A56" s="12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AF56" s="67"/>
      <c r="AG56" s="67"/>
    </row>
    <row r="57" spans="1:33" s="6" customFormat="1" ht="15.75">
      <c r="A57" s="12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AF57" s="67"/>
      <c r="AG57" s="67"/>
    </row>
    <row r="58" spans="1:33" s="6" customFormat="1" ht="15.75">
      <c r="A58" s="12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AF58" s="67"/>
      <c r="AG58" s="67"/>
    </row>
    <row r="59" spans="1:33" s="6" customFormat="1" ht="15.75">
      <c r="A59" s="12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AF59" s="67"/>
      <c r="AG59" s="67"/>
    </row>
    <row r="60" spans="1:33" s="6" customFormat="1" ht="15.75">
      <c r="A60" s="12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AF60" s="67"/>
      <c r="AG60" s="67"/>
    </row>
    <row r="61" spans="1:33" s="6" customFormat="1" ht="15.75">
      <c r="A61" s="12"/>
      <c r="B61" s="16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AF61" s="67"/>
      <c r="AG61" s="67"/>
    </row>
    <row r="62" spans="1:33" s="18" customFormat="1" ht="16.5" customHeigh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AF62" s="69"/>
      <c r="AG62" s="69"/>
    </row>
    <row r="63" spans="1:22" ht="15.75">
      <c r="A63" s="12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5.75">
      <c r="A64" s="12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5.75">
      <c r="A65" s="12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5.75">
      <c r="A66" s="12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8" customHeight="1">
      <c r="A67" s="12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5.75">
      <c r="A68" s="12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5.75">
      <c r="A69" s="12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5.75">
      <c r="A70" s="12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5.75">
      <c r="A71" s="12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5.75">
      <c r="A72" s="12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5.75">
      <c r="A73" s="12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5.75">
      <c r="A74" s="12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5.75">
      <c r="A75" s="12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5.75">
      <c r="A76" s="12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5.75">
      <c r="A77" s="12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5.75">
      <c r="A78" s="12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5.75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5.75">
      <c r="A80" s="12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5.75">
      <c r="A81" s="12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5.75">
      <c r="A82" s="12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5.75">
      <c r="A83" s="12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5.75">
      <c r="A84" s="12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5.75">
      <c r="A85" s="12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5.75">
      <c r="A86" s="12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5.75">
      <c r="A87" s="12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5.75">
      <c r="A88" s="12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5.75">
      <c r="A89" s="12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5.75">
      <c r="A90" s="12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5.75">
      <c r="A91" s="12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5.75">
      <c r="A92" s="12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5.75">
      <c r="A93" s="12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5.75">
      <c r="A94" s="12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5.75">
      <c r="A95" s="12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5.75">
      <c r="A96" s="12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5.75">
      <c r="A97" s="12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5.75">
      <c r="A98" s="12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5.75">
      <c r="A99" s="12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5.75">
      <c r="A100" s="12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5.75">
      <c r="A101" s="12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5.75">
      <c r="A102" s="12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5.75">
      <c r="A103" s="12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5.75">
      <c r="A104" s="12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5.75">
      <c r="A105" s="12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5.75">
      <c r="A106" s="12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5.75">
      <c r="A107" s="20"/>
      <c r="B107" s="21"/>
      <c r="C107" s="21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ht="18.75">
      <c r="A108" s="22"/>
      <c r="B108" s="22"/>
      <c r="C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22" ht="15.75">
      <c r="A109" s="20"/>
      <c r="B109" s="20"/>
      <c r="C109" s="20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</sheetData>
  <sheetProtection/>
  <mergeCells count="17">
    <mergeCell ref="AF5:AF7"/>
    <mergeCell ref="T3:T7"/>
    <mergeCell ref="V3:V7"/>
    <mergeCell ref="W3:AE4"/>
    <mergeCell ref="D3:K3"/>
    <mergeCell ref="L3:S4"/>
    <mergeCell ref="D4:K4"/>
    <mergeCell ref="AF4:AG4"/>
    <mergeCell ref="AG5:AG7"/>
    <mergeCell ref="B6:B7"/>
    <mergeCell ref="B3:B5"/>
    <mergeCell ref="A62:K62"/>
    <mergeCell ref="L5:S5"/>
    <mergeCell ref="AE5:AE7"/>
    <mergeCell ref="W5:AD5"/>
    <mergeCell ref="A3:A7"/>
    <mergeCell ref="C3:C7"/>
  </mergeCells>
  <printOptions horizontalCentered="1"/>
  <pageMargins left="0" right="0" top="0" bottom="0" header="0" footer="0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view="pageBreakPreview" zoomScale="71" zoomScaleNormal="74" zoomScaleSheetLayoutView="71" zoomScalePageLayoutView="0" workbookViewId="0" topLeftCell="A1">
      <pane xSplit="3" ySplit="7" topLeftCell="M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3" sqref="C3:C7"/>
    </sheetView>
  </sheetViews>
  <sheetFormatPr defaultColWidth="9.140625" defaultRowHeight="12.75"/>
  <cols>
    <col min="1" max="1" width="9.00390625" style="4" customWidth="1"/>
    <col min="2" max="2" width="24.00390625" style="4" customWidth="1"/>
    <col min="3" max="3" width="11.140625" style="4" customWidth="1"/>
    <col min="4" max="4" width="18.421875" style="5" customWidth="1"/>
    <col min="5" max="5" width="17.28125" style="5" customWidth="1"/>
    <col min="6" max="6" width="15.421875" style="5" customWidth="1"/>
    <col min="7" max="7" width="17.00390625" style="5" customWidth="1"/>
    <col min="8" max="8" width="16.28125" style="5" customWidth="1"/>
    <col min="9" max="9" width="15.00390625" style="5" customWidth="1"/>
    <col min="10" max="10" width="16.7109375" style="5" customWidth="1"/>
    <col min="11" max="11" width="15.7109375" style="5" customWidth="1"/>
    <col min="12" max="12" width="15.421875" style="5" customWidth="1"/>
    <col min="13" max="24" width="29.7109375" style="5" customWidth="1"/>
    <col min="25" max="25" width="19.00390625" style="19" customWidth="1"/>
    <col min="26" max="26" width="15.8515625" style="19" customWidth="1"/>
    <col min="27" max="27" width="14.28125" style="19" customWidth="1"/>
    <col min="28" max="28" width="13.57421875" style="19" customWidth="1"/>
    <col min="29" max="29" width="12.140625" style="19" customWidth="1"/>
    <col min="30" max="30" width="15.7109375" style="19" customWidth="1"/>
    <col min="31" max="31" width="15.140625" style="19" customWidth="1"/>
    <col min="32" max="32" width="13.57421875" style="19" customWidth="1"/>
    <col min="33" max="33" width="13.7109375" style="19" customWidth="1"/>
    <col min="34" max="34" width="20.140625" style="19" customWidth="1"/>
    <col min="35" max="35" width="15.57421875" style="70" customWidth="1"/>
    <col min="36" max="36" width="18.8515625" style="70" customWidth="1"/>
    <col min="37" max="16384" width="9.140625" style="19" customWidth="1"/>
  </cols>
  <sheetData>
    <row r="1" spans="1:36" s="6" customFormat="1" ht="18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 t="s">
        <v>88</v>
      </c>
      <c r="R1" s="118"/>
      <c r="S1" s="118"/>
      <c r="T1" s="118"/>
      <c r="U1" s="118"/>
      <c r="V1" s="106"/>
      <c r="W1" s="106"/>
      <c r="X1" s="106"/>
      <c r="AI1" s="67"/>
      <c r="AJ1" s="67"/>
    </row>
    <row r="2" spans="1:36" s="6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I2" s="67"/>
      <c r="AJ2" s="67"/>
    </row>
    <row r="3" spans="1:36" s="83" customFormat="1" ht="25.5" customHeight="1">
      <c r="A3" s="152" t="s">
        <v>81</v>
      </c>
      <c r="B3" s="143" t="s">
        <v>74</v>
      </c>
      <c r="C3" s="143" t="s">
        <v>75</v>
      </c>
      <c r="D3" s="157" t="s">
        <v>76</v>
      </c>
      <c r="E3" s="157"/>
      <c r="F3" s="157"/>
      <c r="G3" s="157"/>
      <c r="H3" s="157"/>
      <c r="I3" s="157"/>
      <c r="J3" s="157"/>
      <c r="K3" s="157"/>
      <c r="L3" s="157"/>
      <c r="M3" s="159" t="s">
        <v>70</v>
      </c>
      <c r="N3" s="159"/>
      <c r="O3" s="159"/>
      <c r="P3" s="159"/>
      <c r="Q3" s="159"/>
      <c r="R3" s="159"/>
      <c r="S3" s="159"/>
      <c r="T3" s="159"/>
      <c r="U3" s="160"/>
      <c r="V3" s="156" t="s">
        <v>78</v>
      </c>
      <c r="W3" s="104"/>
      <c r="X3" s="156" t="s">
        <v>79</v>
      </c>
      <c r="Y3" s="156" t="s">
        <v>82</v>
      </c>
      <c r="Z3" s="156"/>
      <c r="AA3" s="156"/>
      <c r="AB3" s="156"/>
      <c r="AC3" s="156"/>
      <c r="AD3" s="156"/>
      <c r="AE3" s="156"/>
      <c r="AF3" s="156"/>
      <c r="AG3" s="156"/>
      <c r="AH3" s="156"/>
      <c r="AI3" s="82"/>
      <c r="AJ3" s="82"/>
    </row>
    <row r="4" spans="1:36" s="83" customFormat="1" ht="36" customHeight="1">
      <c r="A4" s="153"/>
      <c r="B4" s="144"/>
      <c r="C4" s="144"/>
      <c r="D4" s="146" t="s">
        <v>39</v>
      </c>
      <c r="E4" s="147"/>
      <c r="F4" s="147"/>
      <c r="G4" s="147"/>
      <c r="H4" s="147"/>
      <c r="I4" s="147"/>
      <c r="J4" s="147"/>
      <c r="K4" s="147"/>
      <c r="L4" s="148"/>
      <c r="M4" s="162"/>
      <c r="N4" s="162"/>
      <c r="O4" s="162"/>
      <c r="P4" s="162"/>
      <c r="Q4" s="162"/>
      <c r="R4" s="162"/>
      <c r="S4" s="162"/>
      <c r="T4" s="162"/>
      <c r="U4" s="163"/>
      <c r="V4" s="156"/>
      <c r="W4" s="104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5"/>
      <c r="AJ4" s="155"/>
    </row>
    <row r="5" spans="1:36" s="83" customFormat="1" ht="75" customHeight="1">
      <c r="A5" s="153"/>
      <c r="B5" s="144"/>
      <c r="C5" s="144"/>
      <c r="D5" s="109" t="s">
        <v>53</v>
      </c>
      <c r="E5" s="109" t="s">
        <v>53</v>
      </c>
      <c r="F5" s="109" t="s">
        <v>53</v>
      </c>
      <c r="G5" s="109" t="s">
        <v>41</v>
      </c>
      <c r="H5" s="109" t="s">
        <v>41</v>
      </c>
      <c r="I5" s="109" t="s">
        <v>53</v>
      </c>
      <c r="J5" s="109" t="s">
        <v>53</v>
      </c>
      <c r="K5" s="109" t="s">
        <v>41</v>
      </c>
      <c r="L5" s="109" t="s">
        <v>41</v>
      </c>
      <c r="M5" s="146" t="s">
        <v>39</v>
      </c>
      <c r="N5" s="147"/>
      <c r="O5" s="147"/>
      <c r="P5" s="147"/>
      <c r="Q5" s="147"/>
      <c r="R5" s="147"/>
      <c r="S5" s="147"/>
      <c r="T5" s="147"/>
      <c r="U5" s="148"/>
      <c r="V5" s="156"/>
      <c r="W5" s="104"/>
      <c r="X5" s="156"/>
      <c r="Y5" s="157" t="s">
        <v>39</v>
      </c>
      <c r="Z5" s="157"/>
      <c r="AA5" s="157"/>
      <c r="AB5" s="157"/>
      <c r="AC5" s="157"/>
      <c r="AD5" s="157"/>
      <c r="AE5" s="157"/>
      <c r="AF5" s="157"/>
      <c r="AG5" s="157"/>
      <c r="AH5" s="142" t="s">
        <v>62</v>
      </c>
      <c r="AI5" s="155"/>
      <c r="AJ5" s="155"/>
    </row>
    <row r="6" spans="1:36" s="83" customFormat="1" ht="83.25" customHeight="1">
      <c r="A6" s="153"/>
      <c r="B6" s="142" t="s">
        <v>73</v>
      </c>
      <c r="C6" s="144"/>
      <c r="D6" s="109" t="s">
        <v>43</v>
      </c>
      <c r="E6" s="109" t="s">
        <v>42</v>
      </c>
      <c r="F6" s="109" t="s">
        <v>44</v>
      </c>
      <c r="G6" s="109" t="s">
        <v>42</v>
      </c>
      <c r="H6" s="109" t="s">
        <v>44</v>
      </c>
      <c r="I6" s="109" t="s">
        <v>58</v>
      </c>
      <c r="J6" s="109" t="s">
        <v>56</v>
      </c>
      <c r="K6" s="109" t="s">
        <v>58</v>
      </c>
      <c r="L6" s="109" t="s">
        <v>56</v>
      </c>
      <c r="M6" s="109" t="s">
        <v>53</v>
      </c>
      <c r="N6" s="109" t="s">
        <v>53</v>
      </c>
      <c r="O6" s="109" t="s">
        <v>53</v>
      </c>
      <c r="P6" s="109" t="s">
        <v>41</v>
      </c>
      <c r="Q6" s="109" t="s">
        <v>41</v>
      </c>
      <c r="R6" s="109" t="s">
        <v>53</v>
      </c>
      <c r="S6" s="109" t="s">
        <v>53</v>
      </c>
      <c r="T6" s="109" t="s">
        <v>41</v>
      </c>
      <c r="U6" s="108" t="s">
        <v>41</v>
      </c>
      <c r="V6" s="156"/>
      <c r="W6" s="104"/>
      <c r="X6" s="156"/>
      <c r="Y6" s="105" t="s">
        <v>53</v>
      </c>
      <c r="Z6" s="105" t="s">
        <v>53</v>
      </c>
      <c r="AA6" s="105" t="s">
        <v>53</v>
      </c>
      <c r="AB6" s="105" t="s">
        <v>41</v>
      </c>
      <c r="AC6" s="105" t="s">
        <v>41</v>
      </c>
      <c r="AD6" s="105" t="s">
        <v>53</v>
      </c>
      <c r="AE6" s="105" t="s">
        <v>53</v>
      </c>
      <c r="AF6" s="105" t="s">
        <v>41</v>
      </c>
      <c r="AG6" s="105" t="s">
        <v>41</v>
      </c>
      <c r="AH6" s="142"/>
      <c r="AI6" s="155"/>
      <c r="AJ6" s="155"/>
    </row>
    <row r="7" spans="1:36" s="83" customFormat="1" ht="81.75" customHeight="1">
      <c r="A7" s="154"/>
      <c r="B7" s="142"/>
      <c r="C7" s="149"/>
      <c r="D7" s="109" t="s">
        <v>72</v>
      </c>
      <c r="E7" s="109" t="s">
        <v>72</v>
      </c>
      <c r="F7" s="109" t="s">
        <v>72</v>
      </c>
      <c r="G7" s="109" t="s">
        <v>72</v>
      </c>
      <c r="H7" s="109" t="s">
        <v>72</v>
      </c>
      <c r="I7" s="109" t="s">
        <v>72</v>
      </c>
      <c r="J7" s="109" t="s">
        <v>72</v>
      </c>
      <c r="K7" s="109" t="s">
        <v>72</v>
      </c>
      <c r="L7" s="109" t="s">
        <v>72</v>
      </c>
      <c r="M7" s="105" t="s">
        <v>43</v>
      </c>
      <c r="N7" s="109" t="s">
        <v>42</v>
      </c>
      <c r="O7" s="109" t="s">
        <v>44</v>
      </c>
      <c r="P7" s="109" t="s">
        <v>42</v>
      </c>
      <c r="Q7" s="109" t="s">
        <v>44</v>
      </c>
      <c r="R7" s="109" t="s">
        <v>58</v>
      </c>
      <c r="S7" s="109" t="s">
        <v>56</v>
      </c>
      <c r="T7" s="109" t="s">
        <v>58</v>
      </c>
      <c r="U7" s="108" t="s">
        <v>56</v>
      </c>
      <c r="V7" s="156"/>
      <c r="W7" s="104"/>
      <c r="X7" s="156"/>
      <c r="Y7" s="105" t="s">
        <v>43</v>
      </c>
      <c r="Z7" s="105" t="s">
        <v>42</v>
      </c>
      <c r="AA7" s="105" t="s">
        <v>44</v>
      </c>
      <c r="AB7" s="105" t="s">
        <v>42</v>
      </c>
      <c r="AC7" s="105" t="s">
        <v>44</v>
      </c>
      <c r="AD7" s="105" t="s">
        <v>58</v>
      </c>
      <c r="AE7" s="105" t="s">
        <v>56</v>
      </c>
      <c r="AF7" s="105" t="s">
        <v>58</v>
      </c>
      <c r="AG7" s="105" t="s">
        <v>56</v>
      </c>
      <c r="AH7" s="142"/>
      <c r="AI7" s="155"/>
      <c r="AJ7" s="155"/>
    </row>
    <row r="8" spans="1:36" s="41" customFormat="1" ht="15.75">
      <c r="A8" s="44">
        <v>1</v>
      </c>
      <c r="B8" s="45" t="s">
        <v>0</v>
      </c>
      <c r="C8" s="79">
        <v>5</v>
      </c>
      <c r="D8" s="111">
        <v>185</v>
      </c>
      <c r="E8" s="40"/>
      <c r="F8" s="40"/>
      <c r="G8" s="40"/>
      <c r="H8" s="40">
        <v>6</v>
      </c>
      <c r="I8" s="40">
        <v>3</v>
      </c>
      <c r="J8" s="40"/>
      <c r="K8" s="40"/>
      <c r="L8" s="40">
        <v>1</v>
      </c>
      <c r="M8" s="112">
        <v>31302</v>
      </c>
      <c r="N8" s="112">
        <v>31302</v>
      </c>
      <c r="O8" s="112">
        <v>31302</v>
      </c>
      <c r="P8" s="112">
        <v>34570</v>
      </c>
      <c r="Q8" s="112">
        <v>34570</v>
      </c>
      <c r="R8" s="112">
        <v>355845</v>
      </c>
      <c r="S8" s="112">
        <v>355845</v>
      </c>
      <c r="T8" s="112">
        <v>355845</v>
      </c>
      <c r="U8" s="112">
        <v>355845</v>
      </c>
      <c r="V8" s="76">
        <v>1.047</v>
      </c>
      <c r="W8" s="76">
        <f>'Школы-средняя'!S8</f>
        <v>1</v>
      </c>
      <c r="X8" s="81">
        <f>'Школы-средняя'!T8</f>
        <v>0.947</v>
      </c>
      <c r="Y8" s="54">
        <f>ROUND(D8*M8*V8*X8*W8/1000,1)</f>
        <v>5741.7</v>
      </c>
      <c r="Z8" s="54">
        <f>ROUND(E8*N8*V8*X8*W8/1000,1)</f>
        <v>0</v>
      </c>
      <c r="AA8" s="54">
        <f>ROUND(F8*O8*V8*X8*W8/1000,1)</f>
        <v>0</v>
      </c>
      <c r="AB8" s="54">
        <f>ROUND(G8*P8*V8*X8*W8/1000,1)</f>
        <v>0</v>
      </c>
      <c r="AC8" s="54">
        <f>ROUND(H8*Q8*V8*X8*W8/1000,1)</f>
        <v>205.7</v>
      </c>
      <c r="AD8" s="54">
        <f>ROUND(I8*R8*X8*V8*W8/1000,1)</f>
        <v>1058.5</v>
      </c>
      <c r="AE8" s="54">
        <f>ROUND(J8*S8*X8/1000*V8*W8,1)</f>
        <v>0</v>
      </c>
      <c r="AF8" s="54">
        <f>ROUND(K8*T8*X8/1000*V8*W8,1)</f>
        <v>0</v>
      </c>
      <c r="AG8" s="54">
        <f>ROUND(L8*U8*X8/1000*V8*W8,1)</f>
        <v>352.8</v>
      </c>
      <c r="AH8" s="54">
        <f>SUM(Y8:AG8)</f>
        <v>7358.7</v>
      </c>
      <c r="AI8" s="68"/>
      <c r="AJ8" s="68"/>
    </row>
    <row r="9" spans="1:36" s="41" customFormat="1" ht="15.75">
      <c r="A9" s="35">
        <v>2</v>
      </c>
      <c r="B9" s="45" t="s">
        <v>60</v>
      </c>
      <c r="C9" s="79">
        <v>6</v>
      </c>
      <c r="D9" s="66">
        <v>383</v>
      </c>
      <c r="E9" s="37">
        <v>3</v>
      </c>
      <c r="F9" s="37"/>
      <c r="G9" s="37"/>
      <c r="H9" s="37">
        <v>2</v>
      </c>
      <c r="I9" s="37">
        <v>2</v>
      </c>
      <c r="J9" s="40"/>
      <c r="K9" s="40">
        <v>2</v>
      </c>
      <c r="L9" s="37"/>
      <c r="M9" s="112">
        <v>34253</v>
      </c>
      <c r="N9" s="112">
        <v>34253</v>
      </c>
      <c r="O9" s="112">
        <v>34253</v>
      </c>
      <c r="P9" s="113">
        <v>37877</v>
      </c>
      <c r="Q9" s="113">
        <v>37877</v>
      </c>
      <c r="R9" s="112">
        <v>355845</v>
      </c>
      <c r="S9" s="112">
        <v>355845</v>
      </c>
      <c r="T9" s="112">
        <v>355845</v>
      </c>
      <c r="U9" s="112">
        <v>355845</v>
      </c>
      <c r="V9" s="76">
        <v>1.095</v>
      </c>
      <c r="W9" s="76">
        <f>'Школы-средняя'!S9</f>
        <v>1.015</v>
      </c>
      <c r="X9" s="81">
        <f>'Школы-средняя'!T9</f>
        <v>1</v>
      </c>
      <c r="Y9" s="54">
        <f aca="true" t="shared" si="0" ref="Y9:Y43">ROUND(D9*M9*V9*X9*W9/1000,1)</f>
        <v>14580.7</v>
      </c>
      <c r="Z9" s="54">
        <f aca="true" t="shared" si="1" ref="Z9:Z46">ROUND(E9*N9*V9*X9*W9/1000,1)</f>
        <v>114.2</v>
      </c>
      <c r="AA9" s="54">
        <f aca="true" t="shared" si="2" ref="AA9:AA46">ROUND(F9*O9*V9*X9*W9/1000,1)</f>
        <v>0</v>
      </c>
      <c r="AB9" s="54">
        <f aca="true" t="shared" si="3" ref="AB9:AB46">ROUND(G9*P9*V9*X9*W9/1000,1)</f>
        <v>0</v>
      </c>
      <c r="AC9" s="54">
        <f aca="true" t="shared" si="4" ref="AC9:AC46">ROUND(H9*Q9*V9*X9*W9/1000,1)</f>
        <v>84.2</v>
      </c>
      <c r="AD9" s="54">
        <f aca="true" t="shared" si="5" ref="AD9:AD46">ROUND(I9*R9*X9*V9*W9/1000,1)</f>
        <v>791</v>
      </c>
      <c r="AE9" s="54">
        <f aca="true" t="shared" si="6" ref="AE9:AE46">ROUND(J9*S9*X9/1000*V9*W9,1)</f>
        <v>0</v>
      </c>
      <c r="AF9" s="54">
        <f aca="true" t="shared" si="7" ref="AF9:AF46">ROUND(K9*T9*X9/1000*V9*W9,1)</f>
        <v>791</v>
      </c>
      <c r="AG9" s="54">
        <f aca="true" t="shared" si="8" ref="AG9:AG46">ROUND(L9*U9*X9/1000*V9*W9,1)</f>
        <v>0</v>
      </c>
      <c r="AH9" s="54">
        <f aca="true" t="shared" si="9" ref="AH9:AH46">SUM(Y9:AG9)</f>
        <v>16361.100000000002</v>
      </c>
      <c r="AI9" s="68"/>
      <c r="AJ9" s="68"/>
    </row>
    <row r="10" spans="1:36" s="41" customFormat="1" ht="15.75">
      <c r="A10" s="44">
        <v>3</v>
      </c>
      <c r="B10" s="45" t="s">
        <v>1</v>
      </c>
      <c r="C10" s="79">
        <v>6</v>
      </c>
      <c r="D10" s="66">
        <v>318</v>
      </c>
      <c r="E10" s="37"/>
      <c r="F10" s="37">
        <v>5</v>
      </c>
      <c r="G10" s="37"/>
      <c r="H10" s="37"/>
      <c r="I10" s="37"/>
      <c r="J10" s="40">
        <v>4</v>
      </c>
      <c r="K10" s="37"/>
      <c r="L10" s="37">
        <v>2</v>
      </c>
      <c r="M10" s="112">
        <v>34253</v>
      </c>
      <c r="N10" s="112">
        <v>34253</v>
      </c>
      <c r="O10" s="112">
        <v>34253</v>
      </c>
      <c r="P10" s="113">
        <v>37877</v>
      </c>
      <c r="Q10" s="113">
        <v>37877</v>
      </c>
      <c r="R10" s="112">
        <v>355845</v>
      </c>
      <c r="S10" s="112">
        <v>355845</v>
      </c>
      <c r="T10" s="112">
        <v>355845</v>
      </c>
      <c r="U10" s="112">
        <v>355845</v>
      </c>
      <c r="V10" s="76">
        <v>1.084</v>
      </c>
      <c r="W10" s="76">
        <f>'Школы-средняя'!S10</f>
        <v>1</v>
      </c>
      <c r="X10" s="81">
        <f>'Школы-средняя'!T10</f>
        <v>0.838</v>
      </c>
      <c r="Y10" s="54">
        <f t="shared" si="0"/>
        <v>9894.6</v>
      </c>
      <c r="Z10" s="54">
        <f t="shared" si="1"/>
        <v>0</v>
      </c>
      <c r="AA10" s="54">
        <f t="shared" si="2"/>
        <v>155.6</v>
      </c>
      <c r="AB10" s="54">
        <f t="shared" si="3"/>
        <v>0</v>
      </c>
      <c r="AC10" s="54">
        <f t="shared" si="4"/>
        <v>0</v>
      </c>
      <c r="AD10" s="54">
        <f t="shared" si="5"/>
        <v>0</v>
      </c>
      <c r="AE10" s="54">
        <f t="shared" si="6"/>
        <v>1293</v>
      </c>
      <c r="AF10" s="54">
        <f t="shared" si="7"/>
        <v>0</v>
      </c>
      <c r="AG10" s="54">
        <f t="shared" si="8"/>
        <v>646.5</v>
      </c>
      <c r="AH10" s="54">
        <f t="shared" si="9"/>
        <v>11989.7</v>
      </c>
      <c r="AI10" s="68"/>
      <c r="AJ10" s="68"/>
    </row>
    <row r="11" spans="1:36" s="41" customFormat="1" ht="15.75">
      <c r="A11" s="35">
        <v>4</v>
      </c>
      <c r="B11" s="45" t="s">
        <v>2</v>
      </c>
      <c r="C11" s="79">
        <v>5</v>
      </c>
      <c r="D11" s="114">
        <v>213</v>
      </c>
      <c r="E11" s="71">
        <v>2</v>
      </c>
      <c r="F11" s="71"/>
      <c r="G11" s="71"/>
      <c r="H11" s="71"/>
      <c r="I11" s="71">
        <v>2</v>
      </c>
      <c r="J11" s="120"/>
      <c r="K11" s="71"/>
      <c r="L11" s="71">
        <v>4</v>
      </c>
      <c r="M11" s="112">
        <v>31302</v>
      </c>
      <c r="N11" s="112">
        <v>31302</v>
      </c>
      <c r="O11" s="112">
        <v>31302</v>
      </c>
      <c r="P11" s="112">
        <v>34570</v>
      </c>
      <c r="Q11" s="112">
        <v>34570</v>
      </c>
      <c r="R11" s="112">
        <v>355845</v>
      </c>
      <c r="S11" s="112">
        <v>355845</v>
      </c>
      <c r="T11" s="112">
        <v>355845</v>
      </c>
      <c r="U11" s="112">
        <v>355845</v>
      </c>
      <c r="V11" s="76">
        <v>1.163</v>
      </c>
      <c r="W11" s="76">
        <f>'Школы-средняя'!S11</f>
        <v>1</v>
      </c>
      <c r="X11" s="81">
        <f>'Школы-средняя'!T11</f>
        <v>0.802</v>
      </c>
      <c r="Y11" s="54">
        <f t="shared" si="0"/>
        <v>6218.8</v>
      </c>
      <c r="Z11" s="54">
        <f t="shared" si="1"/>
        <v>58.4</v>
      </c>
      <c r="AA11" s="54">
        <f t="shared" si="2"/>
        <v>0</v>
      </c>
      <c r="AB11" s="54">
        <f t="shared" si="3"/>
        <v>0</v>
      </c>
      <c r="AC11" s="54">
        <f t="shared" si="4"/>
        <v>0</v>
      </c>
      <c r="AD11" s="54">
        <f t="shared" si="5"/>
        <v>663.8</v>
      </c>
      <c r="AE11" s="54">
        <f t="shared" si="6"/>
        <v>0</v>
      </c>
      <c r="AF11" s="54">
        <f t="shared" si="7"/>
        <v>0</v>
      </c>
      <c r="AG11" s="54">
        <f t="shared" si="8"/>
        <v>1327.6</v>
      </c>
      <c r="AH11" s="54">
        <f t="shared" si="9"/>
        <v>8268.6</v>
      </c>
      <c r="AI11" s="68"/>
      <c r="AJ11" s="68"/>
    </row>
    <row r="12" spans="1:36" s="41" customFormat="1" ht="15.75">
      <c r="A12" s="44">
        <v>5</v>
      </c>
      <c r="B12" s="45" t="s">
        <v>59</v>
      </c>
      <c r="C12" s="79">
        <v>5</v>
      </c>
      <c r="D12" s="37"/>
      <c r="E12" s="37"/>
      <c r="F12" s="37"/>
      <c r="G12" s="37"/>
      <c r="H12" s="37"/>
      <c r="I12" s="37"/>
      <c r="J12" s="37"/>
      <c r="K12" s="37"/>
      <c r="L12" s="37"/>
      <c r="M12" s="112">
        <v>31302</v>
      </c>
      <c r="N12" s="112">
        <v>31302</v>
      </c>
      <c r="O12" s="112">
        <v>31302</v>
      </c>
      <c r="P12" s="112">
        <v>34570</v>
      </c>
      <c r="Q12" s="112">
        <v>34570</v>
      </c>
      <c r="R12" s="112">
        <v>355845</v>
      </c>
      <c r="S12" s="112">
        <v>355845</v>
      </c>
      <c r="T12" s="112">
        <v>355845</v>
      </c>
      <c r="U12" s="112">
        <v>355845</v>
      </c>
      <c r="V12" s="76">
        <v>0</v>
      </c>
      <c r="W12" s="76">
        <f>'Школы-средняя'!S12</f>
        <v>1.007</v>
      </c>
      <c r="X12" s="81">
        <f>'Школы-средняя'!T12</f>
        <v>1</v>
      </c>
      <c r="Y12" s="54">
        <f t="shared" si="0"/>
        <v>0</v>
      </c>
      <c r="Z12" s="54">
        <f t="shared" si="1"/>
        <v>0</v>
      </c>
      <c r="AA12" s="54">
        <f t="shared" si="2"/>
        <v>0</v>
      </c>
      <c r="AB12" s="54">
        <f t="shared" si="3"/>
        <v>0</v>
      </c>
      <c r="AC12" s="54">
        <f t="shared" si="4"/>
        <v>0</v>
      </c>
      <c r="AD12" s="54">
        <f t="shared" si="5"/>
        <v>0</v>
      </c>
      <c r="AE12" s="54">
        <f t="shared" si="6"/>
        <v>0</v>
      </c>
      <c r="AF12" s="54">
        <f t="shared" si="7"/>
        <v>0</v>
      </c>
      <c r="AG12" s="54">
        <f t="shared" si="8"/>
        <v>0</v>
      </c>
      <c r="AH12" s="54">
        <f t="shared" si="9"/>
        <v>0</v>
      </c>
      <c r="AI12" s="68"/>
      <c r="AJ12" s="68"/>
    </row>
    <row r="13" spans="1:36" s="41" customFormat="1" ht="15.75">
      <c r="A13" s="35">
        <v>6</v>
      </c>
      <c r="B13" s="45" t="s">
        <v>3</v>
      </c>
      <c r="C13" s="79">
        <v>5</v>
      </c>
      <c r="D13" s="66">
        <v>282</v>
      </c>
      <c r="E13" s="37">
        <v>1</v>
      </c>
      <c r="F13" s="37"/>
      <c r="G13" s="37">
        <v>1</v>
      </c>
      <c r="H13" s="37">
        <v>6</v>
      </c>
      <c r="I13" s="37"/>
      <c r="J13" s="37"/>
      <c r="K13" s="37">
        <v>2</v>
      </c>
      <c r="L13" s="37"/>
      <c r="M13" s="112">
        <v>31302</v>
      </c>
      <c r="N13" s="112">
        <v>31302</v>
      </c>
      <c r="O13" s="112">
        <v>31302</v>
      </c>
      <c r="P13" s="112">
        <v>34570</v>
      </c>
      <c r="Q13" s="112">
        <v>34570</v>
      </c>
      <c r="R13" s="112">
        <v>355845</v>
      </c>
      <c r="S13" s="112">
        <v>355845</v>
      </c>
      <c r="T13" s="112">
        <v>355845</v>
      </c>
      <c r="U13" s="112">
        <v>355845</v>
      </c>
      <c r="V13" s="76">
        <v>1.038</v>
      </c>
      <c r="W13" s="76">
        <f>'Школы-средняя'!S13</f>
        <v>1.038</v>
      </c>
      <c r="X13" s="81">
        <f>'Школы-средняя'!T13</f>
        <v>1</v>
      </c>
      <c r="Y13" s="54">
        <f t="shared" si="0"/>
        <v>9510.8</v>
      </c>
      <c r="Z13" s="54">
        <f t="shared" si="1"/>
        <v>33.7</v>
      </c>
      <c r="AA13" s="54">
        <f t="shared" si="2"/>
        <v>0</v>
      </c>
      <c r="AB13" s="54">
        <f t="shared" si="3"/>
        <v>37.2</v>
      </c>
      <c r="AC13" s="54">
        <f t="shared" si="4"/>
        <v>223.5</v>
      </c>
      <c r="AD13" s="54">
        <f t="shared" si="5"/>
        <v>0</v>
      </c>
      <c r="AE13" s="54">
        <f t="shared" si="6"/>
        <v>0</v>
      </c>
      <c r="AF13" s="54">
        <f t="shared" si="7"/>
        <v>766.8</v>
      </c>
      <c r="AG13" s="54">
        <f t="shared" si="8"/>
        <v>0</v>
      </c>
      <c r="AH13" s="54">
        <f t="shared" si="9"/>
        <v>10572</v>
      </c>
      <c r="AI13" s="68"/>
      <c r="AJ13" s="68"/>
    </row>
    <row r="14" spans="1:36" s="41" customFormat="1" ht="15.75" customHeight="1">
      <c r="A14" s="44">
        <v>7</v>
      </c>
      <c r="B14" s="45" t="s">
        <v>4</v>
      </c>
      <c r="C14" s="79">
        <v>5</v>
      </c>
      <c r="D14" s="66">
        <v>382</v>
      </c>
      <c r="E14" s="37">
        <v>6</v>
      </c>
      <c r="F14" s="37"/>
      <c r="G14" s="37"/>
      <c r="H14" s="37">
        <v>3</v>
      </c>
      <c r="I14" s="37">
        <v>1</v>
      </c>
      <c r="J14" s="37">
        <v>2</v>
      </c>
      <c r="K14" s="37">
        <v>1</v>
      </c>
      <c r="L14" s="37"/>
      <c r="M14" s="112">
        <v>31302</v>
      </c>
      <c r="N14" s="112">
        <v>31302</v>
      </c>
      <c r="O14" s="112">
        <v>31302</v>
      </c>
      <c r="P14" s="112">
        <v>34570</v>
      </c>
      <c r="Q14" s="112">
        <v>34570</v>
      </c>
      <c r="R14" s="112">
        <v>355845</v>
      </c>
      <c r="S14" s="112">
        <v>355845</v>
      </c>
      <c r="T14" s="112">
        <v>355845</v>
      </c>
      <c r="U14" s="112">
        <v>355845</v>
      </c>
      <c r="V14" s="76">
        <v>1.087</v>
      </c>
      <c r="W14" s="76">
        <f>'Школы-средняя'!S14</f>
        <v>1</v>
      </c>
      <c r="X14" s="81">
        <f>'Школы-средняя'!T14</f>
        <v>0.97</v>
      </c>
      <c r="Y14" s="54">
        <f t="shared" si="0"/>
        <v>12607.7</v>
      </c>
      <c r="Z14" s="54">
        <f t="shared" si="1"/>
        <v>198</v>
      </c>
      <c r="AA14" s="54">
        <f t="shared" si="2"/>
        <v>0</v>
      </c>
      <c r="AB14" s="54">
        <f t="shared" si="3"/>
        <v>0</v>
      </c>
      <c r="AC14" s="54">
        <f t="shared" si="4"/>
        <v>109.4</v>
      </c>
      <c r="AD14" s="54">
        <f t="shared" si="5"/>
        <v>375.2</v>
      </c>
      <c r="AE14" s="54">
        <f t="shared" si="6"/>
        <v>750.4</v>
      </c>
      <c r="AF14" s="54">
        <f t="shared" si="7"/>
        <v>375.2</v>
      </c>
      <c r="AG14" s="54">
        <f t="shared" si="8"/>
        <v>0</v>
      </c>
      <c r="AH14" s="54">
        <f t="shared" si="9"/>
        <v>14415.900000000001</v>
      </c>
      <c r="AI14" s="68"/>
      <c r="AJ14" s="68"/>
    </row>
    <row r="15" spans="1:36" s="41" customFormat="1" ht="15.75">
      <c r="A15" s="35">
        <v>8</v>
      </c>
      <c r="B15" s="47" t="s">
        <v>5</v>
      </c>
      <c r="C15" s="79">
        <v>5</v>
      </c>
      <c r="D15" s="66">
        <v>391</v>
      </c>
      <c r="E15" s="37">
        <v>3</v>
      </c>
      <c r="F15" s="37"/>
      <c r="G15" s="37"/>
      <c r="H15" s="37">
        <v>5</v>
      </c>
      <c r="I15" s="37"/>
      <c r="J15" s="37"/>
      <c r="K15" s="37">
        <v>1</v>
      </c>
      <c r="L15" s="37">
        <v>4</v>
      </c>
      <c r="M15" s="112">
        <v>31302</v>
      </c>
      <c r="N15" s="112">
        <v>31302</v>
      </c>
      <c r="O15" s="112">
        <v>31302</v>
      </c>
      <c r="P15" s="112">
        <v>34570</v>
      </c>
      <c r="Q15" s="112">
        <v>34570</v>
      </c>
      <c r="R15" s="112">
        <v>355845</v>
      </c>
      <c r="S15" s="112">
        <v>355845</v>
      </c>
      <c r="T15" s="112">
        <v>355845</v>
      </c>
      <c r="U15" s="112">
        <v>355845</v>
      </c>
      <c r="V15" s="76">
        <v>1.065</v>
      </c>
      <c r="W15" s="76">
        <f>'Школы-средняя'!S15</f>
        <v>1</v>
      </c>
      <c r="X15" s="81">
        <f>'Школы-средняя'!T15</f>
        <v>0.909</v>
      </c>
      <c r="Y15" s="54">
        <f t="shared" si="0"/>
        <v>11848.5</v>
      </c>
      <c r="Z15" s="54">
        <f t="shared" si="1"/>
        <v>90.9</v>
      </c>
      <c r="AA15" s="54">
        <f t="shared" si="2"/>
        <v>0</v>
      </c>
      <c r="AB15" s="54">
        <f t="shared" si="3"/>
        <v>0</v>
      </c>
      <c r="AC15" s="54">
        <f t="shared" si="4"/>
        <v>167.3</v>
      </c>
      <c r="AD15" s="54">
        <f t="shared" si="5"/>
        <v>0</v>
      </c>
      <c r="AE15" s="54">
        <f t="shared" si="6"/>
        <v>0</v>
      </c>
      <c r="AF15" s="54">
        <f t="shared" si="7"/>
        <v>344.5</v>
      </c>
      <c r="AG15" s="54">
        <f t="shared" si="8"/>
        <v>1378</v>
      </c>
      <c r="AH15" s="54">
        <f t="shared" si="9"/>
        <v>13829.199999999999</v>
      </c>
      <c r="AI15" s="68"/>
      <c r="AJ15" s="68"/>
    </row>
    <row r="16" spans="1:36" s="41" customFormat="1" ht="15.75">
      <c r="A16" s="44">
        <v>9</v>
      </c>
      <c r="B16" s="45" t="s">
        <v>6</v>
      </c>
      <c r="C16" s="79">
        <v>5</v>
      </c>
      <c r="D16" s="66">
        <v>19</v>
      </c>
      <c r="E16" s="37"/>
      <c r="F16" s="37"/>
      <c r="G16" s="37"/>
      <c r="H16" s="37"/>
      <c r="I16" s="37"/>
      <c r="J16" s="37"/>
      <c r="K16" s="37"/>
      <c r="L16" s="37"/>
      <c r="M16" s="113">
        <v>34942</v>
      </c>
      <c r="N16" s="113">
        <v>34942</v>
      </c>
      <c r="O16" s="113">
        <v>34942</v>
      </c>
      <c r="P16" s="113">
        <v>38296</v>
      </c>
      <c r="Q16" s="113">
        <v>38296</v>
      </c>
      <c r="R16" s="113">
        <v>392758</v>
      </c>
      <c r="S16" s="113">
        <v>392758</v>
      </c>
      <c r="T16" s="113">
        <v>392758</v>
      </c>
      <c r="U16" s="113">
        <v>392758</v>
      </c>
      <c r="V16" s="77">
        <v>6.579</v>
      </c>
      <c r="W16" s="76">
        <f>'Школы-средняя'!S16</f>
        <v>1</v>
      </c>
      <c r="X16" s="81">
        <f>'Школы-средняя'!T16</f>
        <v>0.778</v>
      </c>
      <c r="Y16" s="54">
        <f>ROUND(D16*M16*V16*X16*W16/1000,1)-0.7</f>
        <v>3397.4</v>
      </c>
      <c r="Z16" s="54">
        <f t="shared" si="1"/>
        <v>0</v>
      </c>
      <c r="AA16" s="54">
        <f t="shared" si="2"/>
        <v>0</v>
      </c>
      <c r="AB16" s="54">
        <f t="shared" si="3"/>
        <v>0</v>
      </c>
      <c r="AC16" s="54">
        <f t="shared" si="4"/>
        <v>0</v>
      </c>
      <c r="AD16" s="54">
        <f t="shared" si="5"/>
        <v>0</v>
      </c>
      <c r="AE16" s="54">
        <f t="shared" si="6"/>
        <v>0</v>
      </c>
      <c r="AF16" s="54">
        <f t="shared" si="7"/>
        <v>0</v>
      </c>
      <c r="AG16" s="54">
        <f t="shared" si="8"/>
        <v>0</v>
      </c>
      <c r="AH16" s="54">
        <f t="shared" si="9"/>
        <v>3397.4</v>
      </c>
      <c r="AI16" s="68"/>
      <c r="AJ16" s="68"/>
    </row>
    <row r="17" spans="1:36" s="41" customFormat="1" ht="15.75">
      <c r="A17" s="35">
        <v>10</v>
      </c>
      <c r="B17" s="36" t="s">
        <v>7</v>
      </c>
      <c r="C17" s="79">
        <v>5</v>
      </c>
      <c r="D17" s="66">
        <v>94</v>
      </c>
      <c r="E17" s="37">
        <v>1</v>
      </c>
      <c r="F17" s="37"/>
      <c r="G17" s="37"/>
      <c r="H17" s="37"/>
      <c r="I17" s="37"/>
      <c r="J17" s="37"/>
      <c r="K17" s="37">
        <v>1</v>
      </c>
      <c r="L17" s="37">
        <v>1</v>
      </c>
      <c r="M17" s="113">
        <v>34942</v>
      </c>
      <c r="N17" s="113">
        <v>34942</v>
      </c>
      <c r="O17" s="113">
        <v>34942</v>
      </c>
      <c r="P17" s="113">
        <v>38296</v>
      </c>
      <c r="Q17" s="113">
        <v>38296</v>
      </c>
      <c r="R17" s="113">
        <v>392758</v>
      </c>
      <c r="S17" s="113">
        <v>392758</v>
      </c>
      <c r="T17" s="113">
        <v>392758</v>
      </c>
      <c r="U17" s="113">
        <v>392758</v>
      </c>
      <c r="V17" s="77">
        <v>1.316</v>
      </c>
      <c r="W17" s="76">
        <f>'Школы-средняя'!S17</f>
        <v>1</v>
      </c>
      <c r="X17" s="81">
        <f>'Школы-средняя'!T17</f>
        <v>0.963</v>
      </c>
      <c r="Y17" s="54">
        <f t="shared" si="0"/>
        <v>4162.5</v>
      </c>
      <c r="Z17" s="54">
        <f t="shared" si="1"/>
        <v>44.3</v>
      </c>
      <c r="AA17" s="54">
        <f t="shared" si="2"/>
        <v>0</v>
      </c>
      <c r="AB17" s="54">
        <f t="shared" si="3"/>
        <v>0</v>
      </c>
      <c r="AC17" s="54">
        <f t="shared" si="4"/>
        <v>0</v>
      </c>
      <c r="AD17" s="54">
        <f t="shared" si="5"/>
        <v>0</v>
      </c>
      <c r="AE17" s="54">
        <f t="shared" si="6"/>
        <v>0</v>
      </c>
      <c r="AF17" s="54">
        <f t="shared" si="7"/>
        <v>497.7</v>
      </c>
      <c r="AG17" s="54">
        <f t="shared" si="8"/>
        <v>497.7</v>
      </c>
      <c r="AH17" s="54">
        <f t="shared" si="9"/>
        <v>5202.2</v>
      </c>
      <c r="AI17" s="68"/>
      <c r="AJ17" s="68"/>
    </row>
    <row r="18" spans="1:36" s="41" customFormat="1" ht="15.75">
      <c r="A18" s="44">
        <v>11</v>
      </c>
      <c r="B18" s="36" t="s">
        <v>8</v>
      </c>
      <c r="C18" s="79">
        <v>5</v>
      </c>
      <c r="D18" s="66">
        <v>94</v>
      </c>
      <c r="E18" s="37"/>
      <c r="F18" s="37">
        <v>1</v>
      </c>
      <c r="G18" s="37"/>
      <c r="H18" s="37"/>
      <c r="I18" s="37"/>
      <c r="J18" s="37"/>
      <c r="K18" s="37"/>
      <c r="L18" s="37"/>
      <c r="M18" s="113">
        <v>34942</v>
      </c>
      <c r="N18" s="113">
        <v>34942</v>
      </c>
      <c r="O18" s="113">
        <v>34942</v>
      </c>
      <c r="P18" s="113">
        <v>38296</v>
      </c>
      <c r="Q18" s="113">
        <v>38296</v>
      </c>
      <c r="R18" s="113">
        <v>392758</v>
      </c>
      <c r="S18" s="113">
        <v>392758</v>
      </c>
      <c r="T18" s="113">
        <v>392758</v>
      </c>
      <c r="U18" s="113">
        <v>392758</v>
      </c>
      <c r="V18" s="77">
        <v>1.316</v>
      </c>
      <c r="W18" s="76">
        <f>'Школы-средняя'!S18</f>
        <v>1.101</v>
      </c>
      <c r="X18" s="81">
        <f>'Школы-средняя'!T18</f>
        <v>1</v>
      </c>
      <c r="Y18" s="54">
        <f t="shared" si="0"/>
        <v>4759</v>
      </c>
      <c r="Z18" s="54">
        <f t="shared" si="1"/>
        <v>0</v>
      </c>
      <c r="AA18" s="54">
        <f t="shared" si="2"/>
        <v>50.6</v>
      </c>
      <c r="AB18" s="54">
        <f t="shared" si="3"/>
        <v>0</v>
      </c>
      <c r="AC18" s="54">
        <f t="shared" si="4"/>
        <v>0</v>
      </c>
      <c r="AD18" s="54">
        <f t="shared" si="5"/>
        <v>0</v>
      </c>
      <c r="AE18" s="54">
        <f t="shared" si="6"/>
        <v>0</v>
      </c>
      <c r="AF18" s="54">
        <f t="shared" si="7"/>
        <v>0</v>
      </c>
      <c r="AG18" s="54">
        <f t="shared" si="8"/>
        <v>0</v>
      </c>
      <c r="AH18" s="54">
        <f t="shared" si="9"/>
        <v>4809.6</v>
      </c>
      <c r="AI18" s="68"/>
      <c r="AJ18" s="68"/>
    </row>
    <row r="19" spans="1:36" s="41" customFormat="1" ht="15.75">
      <c r="A19" s="35">
        <v>12</v>
      </c>
      <c r="B19" s="36" t="s">
        <v>9</v>
      </c>
      <c r="C19" s="79">
        <v>5</v>
      </c>
      <c r="D19" s="66">
        <v>109</v>
      </c>
      <c r="E19" s="37"/>
      <c r="F19" s="37">
        <v>1</v>
      </c>
      <c r="G19" s="37"/>
      <c r="H19" s="37"/>
      <c r="I19" s="37"/>
      <c r="J19" s="37"/>
      <c r="K19" s="37">
        <v>4</v>
      </c>
      <c r="L19" s="37"/>
      <c r="M19" s="113">
        <v>34942</v>
      </c>
      <c r="N19" s="113">
        <v>34942</v>
      </c>
      <c r="O19" s="113">
        <v>34942</v>
      </c>
      <c r="P19" s="113">
        <v>38296</v>
      </c>
      <c r="Q19" s="113">
        <v>38296</v>
      </c>
      <c r="R19" s="113">
        <v>392758</v>
      </c>
      <c r="S19" s="113">
        <v>392758</v>
      </c>
      <c r="T19" s="113">
        <v>392758</v>
      </c>
      <c r="U19" s="113">
        <v>392758</v>
      </c>
      <c r="V19" s="77">
        <v>1.364</v>
      </c>
      <c r="W19" s="76">
        <f>'Школы-средняя'!S19</f>
        <v>1</v>
      </c>
      <c r="X19" s="81">
        <f>'Школы-средняя'!T19</f>
        <v>0.909</v>
      </c>
      <c r="Y19" s="54">
        <f t="shared" si="0"/>
        <v>4722.3</v>
      </c>
      <c r="Z19" s="54">
        <f t="shared" si="1"/>
        <v>0</v>
      </c>
      <c r="AA19" s="54">
        <f t="shared" si="2"/>
        <v>43.3</v>
      </c>
      <c r="AB19" s="54">
        <f t="shared" si="3"/>
        <v>0</v>
      </c>
      <c r="AC19" s="54">
        <f t="shared" si="4"/>
        <v>0</v>
      </c>
      <c r="AD19" s="54">
        <f t="shared" si="5"/>
        <v>0</v>
      </c>
      <c r="AE19" s="54">
        <f t="shared" si="6"/>
        <v>0</v>
      </c>
      <c r="AF19" s="54">
        <f t="shared" si="7"/>
        <v>1947.9</v>
      </c>
      <c r="AG19" s="54">
        <f t="shared" si="8"/>
        <v>0</v>
      </c>
      <c r="AH19" s="54">
        <f t="shared" si="9"/>
        <v>6713.5</v>
      </c>
      <c r="AI19" s="68"/>
      <c r="AJ19" s="68"/>
    </row>
    <row r="20" spans="1:36" s="41" customFormat="1" ht="15.75">
      <c r="A20" s="44">
        <v>13</v>
      </c>
      <c r="B20" s="36" t="s">
        <v>10</v>
      </c>
      <c r="C20" s="79">
        <v>5</v>
      </c>
      <c r="D20" s="66">
        <v>287</v>
      </c>
      <c r="E20" s="37">
        <v>1</v>
      </c>
      <c r="F20" s="37"/>
      <c r="G20" s="37"/>
      <c r="H20" s="37"/>
      <c r="I20" s="37"/>
      <c r="J20" s="37"/>
      <c r="K20" s="37"/>
      <c r="L20" s="37"/>
      <c r="M20" s="113">
        <v>34942</v>
      </c>
      <c r="N20" s="113">
        <v>34942</v>
      </c>
      <c r="O20" s="113">
        <v>34942</v>
      </c>
      <c r="P20" s="113">
        <v>38296</v>
      </c>
      <c r="Q20" s="113">
        <v>38296</v>
      </c>
      <c r="R20" s="113">
        <v>392758</v>
      </c>
      <c r="S20" s="113">
        <v>392758</v>
      </c>
      <c r="T20" s="113">
        <v>392758</v>
      </c>
      <c r="U20" s="113">
        <v>392758</v>
      </c>
      <c r="V20" s="77">
        <v>1.128</v>
      </c>
      <c r="W20" s="76">
        <f>'Школы-средняя'!S20</f>
        <v>1</v>
      </c>
      <c r="X20" s="81">
        <f>'Школы-средняя'!T20</f>
        <v>0.896</v>
      </c>
      <c r="Y20" s="54">
        <f t="shared" si="0"/>
        <v>10135.5</v>
      </c>
      <c r="Z20" s="54">
        <f t="shared" si="1"/>
        <v>35.3</v>
      </c>
      <c r="AA20" s="54">
        <f t="shared" si="2"/>
        <v>0</v>
      </c>
      <c r="AB20" s="54">
        <f t="shared" si="3"/>
        <v>0</v>
      </c>
      <c r="AC20" s="54">
        <f t="shared" si="4"/>
        <v>0</v>
      </c>
      <c r="AD20" s="54">
        <f t="shared" si="5"/>
        <v>0</v>
      </c>
      <c r="AE20" s="54">
        <f t="shared" si="6"/>
        <v>0</v>
      </c>
      <c r="AF20" s="54">
        <f t="shared" si="7"/>
        <v>0</v>
      </c>
      <c r="AG20" s="54">
        <f t="shared" si="8"/>
        <v>0</v>
      </c>
      <c r="AH20" s="54">
        <f t="shared" si="9"/>
        <v>10170.8</v>
      </c>
      <c r="AI20" s="68"/>
      <c r="AJ20" s="68"/>
    </row>
    <row r="21" spans="1:36" s="41" customFormat="1" ht="19.5" customHeight="1">
      <c r="A21" s="35">
        <v>14</v>
      </c>
      <c r="B21" s="36" t="s">
        <v>11</v>
      </c>
      <c r="C21" s="79">
        <v>5</v>
      </c>
      <c r="D21" s="66">
        <v>23</v>
      </c>
      <c r="E21" s="37"/>
      <c r="F21" s="37"/>
      <c r="G21" s="37"/>
      <c r="H21" s="37">
        <v>2</v>
      </c>
      <c r="I21" s="37"/>
      <c r="J21" s="37"/>
      <c r="K21" s="37"/>
      <c r="L21" s="37"/>
      <c r="M21" s="113">
        <v>34942</v>
      </c>
      <c r="N21" s="113">
        <v>34942</v>
      </c>
      <c r="O21" s="113">
        <v>34942</v>
      </c>
      <c r="P21" s="113">
        <v>38296</v>
      </c>
      <c r="Q21" s="113">
        <v>38296</v>
      </c>
      <c r="R21" s="113">
        <v>392758</v>
      </c>
      <c r="S21" s="113">
        <v>392758</v>
      </c>
      <c r="T21" s="113">
        <v>392758</v>
      </c>
      <c r="U21" s="113">
        <v>392758</v>
      </c>
      <c r="V21" s="77">
        <v>5</v>
      </c>
      <c r="W21" s="76">
        <f>'Школы-средняя'!S21</f>
        <v>1</v>
      </c>
      <c r="X21" s="81">
        <f>'Школы-средняя'!T21</f>
        <v>0.781</v>
      </c>
      <c r="Y21" s="54">
        <f>ROUND(D21*M21*V21*X21*W21/1000,1)+4.2</f>
        <v>3142.5</v>
      </c>
      <c r="Z21" s="54">
        <f t="shared" si="1"/>
        <v>0</v>
      </c>
      <c r="AA21" s="54">
        <f t="shared" si="2"/>
        <v>0</v>
      </c>
      <c r="AB21" s="54">
        <f t="shared" si="3"/>
        <v>0</v>
      </c>
      <c r="AC21" s="54">
        <f t="shared" si="4"/>
        <v>299.1</v>
      </c>
      <c r="AD21" s="54">
        <f t="shared" si="5"/>
        <v>0</v>
      </c>
      <c r="AE21" s="54">
        <f t="shared" si="6"/>
        <v>0</v>
      </c>
      <c r="AF21" s="54">
        <f t="shared" si="7"/>
        <v>0</v>
      </c>
      <c r="AG21" s="54">
        <f t="shared" si="8"/>
        <v>0</v>
      </c>
      <c r="AH21" s="54">
        <f t="shared" si="9"/>
        <v>3441.6</v>
      </c>
      <c r="AI21" s="68"/>
      <c r="AJ21" s="68"/>
    </row>
    <row r="22" spans="1:36" s="41" customFormat="1" ht="15.75">
      <c r="A22" s="44">
        <v>15</v>
      </c>
      <c r="B22" s="36" t="s">
        <v>12</v>
      </c>
      <c r="C22" s="79">
        <v>5</v>
      </c>
      <c r="D22" s="66">
        <v>223</v>
      </c>
      <c r="E22" s="37">
        <v>1</v>
      </c>
      <c r="F22" s="37"/>
      <c r="G22" s="37"/>
      <c r="H22" s="37">
        <v>3</v>
      </c>
      <c r="I22" s="37"/>
      <c r="J22" s="37"/>
      <c r="K22" s="37">
        <v>2</v>
      </c>
      <c r="L22" s="37"/>
      <c r="M22" s="113">
        <v>34942</v>
      </c>
      <c r="N22" s="113">
        <v>34942</v>
      </c>
      <c r="O22" s="113">
        <v>34942</v>
      </c>
      <c r="P22" s="113">
        <v>38296</v>
      </c>
      <c r="Q22" s="113">
        <v>38296</v>
      </c>
      <c r="R22" s="113">
        <v>392758</v>
      </c>
      <c r="S22" s="113">
        <v>392758</v>
      </c>
      <c r="T22" s="113">
        <v>392758</v>
      </c>
      <c r="U22" s="113">
        <v>392758</v>
      </c>
      <c r="V22" s="77">
        <v>1.211</v>
      </c>
      <c r="W22" s="76">
        <f>'Школы-средняя'!S22</f>
        <v>1</v>
      </c>
      <c r="X22" s="81">
        <f>'Школы-средняя'!T22</f>
        <v>0.939</v>
      </c>
      <c r="Y22" s="54">
        <f t="shared" si="0"/>
        <v>8860.6</v>
      </c>
      <c r="Z22" s="54">
        <f t="shared" si="1"/>
        <v>39.7</v>
      </c>
      <c r="AA22" s="54">
        <f t="shared" si="2"/>
        <v>0</v>
      </c>
      <c r="AB22" s="54">
        <f t="shared" si="3"/>
        <v>0</v>
      </c>
      <c r="AC22" s="54">
        <f t="shared" si="4"/>
        <v>130.6</v>
      </c>
      <c r="AD22" s="54">
        <f t="shared" si="5"/>
        <v>0</v>
      </c>
      <c r="AE22" s="54">
        <f t="shared" si="6"/>
        <v>0</v>
      </c>
      <c r="AF22" s="54">
        <f t="shared" si="7"/>
        <v>893.2</v>
      </c>
      <c r="AG22" s="54">
        <f t="shared" si="8"/>
        <v>0</v>
      </c>
      <c r="AH22" s="54">
        <f t="shared" si="9"/>
        <v>9924.100000000002</v>
      </c>
      <c r="AI22" s="68"/>
      <c r="AJ22" s="68"/>
    </row>
    <row r="23" spans="1:36" s="41" customFormat="1" ht="15.75" customHeight="1">
      <c r="A23" s="35">
        <v>16</v>
      </c>
      <c r="B23" s="36" t="s">
        <v>13</v>
      </c>
      <c r="C23" s="79">
        <v>5</v>
      </c>
      <c r="D23" s="66">
        <v>61</v>
      </c>
      <c r="E23" s="37">
        <v>1</v>
      </c>
      <c r="F23" s="37"/>
      <c r="G23" s="37"/>
      <c r="H23" s="37">
        <v>2</v>
      </c>
      <c r="I23" s="37"/>
      <c r="J23" s="37"/>
      <c r="K23" s="37">
        <v>2</v>
      </c>
      <c r="L23" s="37">
        <v>1</v>
      </c>
      <c r="M23" s="113">
        <v>34942</v>
      </c>
      <c r="N23" s="113">
        <v>34942</v>
      </c>
      <c r="O23" s="113">
        <v>34942</v>
      </c>
      <c r="P23" s="113">
        <v>38296</v>
      </c>
      <c r="Q23" s="113">
        <v>38296</v>
      </c>
      <c r="R23" s="113">
        <v>392758</v>
      </c>
      <c r="S23" s="113">
        <v>392758</v>
      </c>
      <c r="T23" s="113">
        <v>392758</v>
      </c>
      <c r="U23" s="113">
        <v>392758</v>
      </c>
      <c r="V23" s="77">
        <v>1.953</v>
      </c>
      <c r="W23" s="76">
        <f>'Школы-средняя'!S23</f>
        <v>1</v>
      </c>
      <c r="X23" s="81">
        <f>'Школы-средняя'!T23</f>
        <v>0.779</v>
      </c>
      <c r="Y23" s="54">
        <f t="shared" si="0"/>
        <v>3242.8</v>
      </c>
      <c r="Z23" s="54">
        <f t="shared" si="1"/>
        <v>53.2</v>
      </c>
      <c r="AA23" s="54">
        <f t="shared" si="2"/>
        <v>0</v>
      </c>
      <c r="AB23" s="54">
        <f t="shared" si="3"/>
        <v>0</v>
      </c>
      <c r="AC23" s="54">
        <f t="shared" si="4"/>
        <v>116.5</v>
      </c>
      <c r="AD23" s="54">
        <f t="shared" si="5"/>
        <v>0</v>
      </c>
      <c r="AE23" s="54">
        <f t="shared" si="6"/>
        <v>0</v>
      </c>
      <c r="AF23" s="54">
        <f t="shared" si="7"/>
        <v>1195.1</v>
      </c>
      <c r="AG23" s="54">
        <f t="shared" si="8"/>
        <v>597.5</v>
      </c>
      <c r="AH23" s="54">
        <f t="shared" si="9"/>
        <v>5205.1</v>
      </c>
      <c r="AI23" s="68"/>
      <c r="AJ23" s="68"/>
    </row>
    <row r="24" spans="1:36" s="41" customFormat="1" ht="19.5" customHeight="1">
      <c r="A24" s="44">
        <v>17</v>
      </c>
      <c r="B24" s="36" t="s">
        <v>14</v>
      </c>
      <c r="C24" s="79">
        <v>5</v>
      </c>
      <c r="D24" s="66">
        <v>14</v>
      </c>
      <c r="E24" s="37"/>
      <c r="F24" s="37"/>
      <c r="G24" s="37"/>
      <c r="H24" s="37">
        <v>1</v>
      </c>
      <c r="I24" s="37"/>
      <c r="J24" s="37"/>
      <c r="K24" s="37"/>
      <c r="L24" s="37"/>
      <c r="M24" s="113">
        <v>34942</v>
      </c>
      <c r="N24" s="113">
        <v>34942</v>
      </c>
      <c r="O24" s="113">
        <v>34942</v>
      </c>
      <c r="P24" s="113">
        <v>38296</v>
      </c>
      <c r="Q24" s="113">
        <v>38296</v>
      </c>
      <c r="R24" s="113">
        <v>392758</v>
      </c>
      <c r="S24" s="113">
        <v>392758</v>
      </c>
      <c r="T24" s="113">
        <v>392758</v>
      </c>
      <c r="U24" s="113">
        <v>392758</v>
      </c>
      <c r="V24" s="77">
        <v>8.333</v>
      </c>
      <c r="W24" s="76">
        <f>'Школы-средняя'!S24</f>
        <v>1</v>
      </c>
      <c r="X24" s="81">
        <f>'Школы-средняя'!T24</f>
        <v>0.713</v>
      </c>
      <c r="Y24" s="54">
        <f>ROUND(D24*M24*V24*X24*W24/1000,1)-0.5</f>
        <v>2906</v>
      </c>
      <c r="Z24" s="54">
        <f t="shared" si="1"/>
        <v>0</v>
      </c>
      <c r="AA24" s="54">
        <f t="shared" si="2"/>
        <v>0</v>
      </c>
      <c r="AB24" s="54">
        <f t="shared" si="3"/>
        <v>0</v>
      </c>
      <c r="AC24" s="54">
        <f t="shared" si="4"/>
        <v>227.5</v>
      </c>
      <c r="AD24" s="54">
        <f t="shared" si="5"/>
        <v>0</v>
      </c>
      <c r="AE24" s="54">
        <f t="shared" si="6"/>
        <v>0</v>
      </c>
      <c r="AF24" s="54">
        <f t="shared" si="7"/>
        <v>0</v>
      </c>
      <c r="AG24" s="54">
        <f t="shared" si="8"/>
        <v>0</v>
      </c>
      <c r="AH24" s="54">
        <f t="shared" si="9"/>
        <v>3133.5</v>
      </c>
      <c r="AI24" s="68"/>
      <c r="AJ24" s="68"/>
    </row>
    <row r="25" spans="1:36" s="41" customFormat="1" ht="15.75">
      <c r="A25" s="35">
        <v>18</v>
      </c>
      <c r="B25" s="36" t="s">
        <v>15</v>
      </c>
      <c r="C25" s="79">
        <v>5</v>
      </c>
      <c r="D25" s="66">
        <v>36</v>
      </c>
      <c r="E25" s="37"/>
      <c r="F25" s="37"/>
      <c r="G25" s="37"/>
      <c r="H25" s="37"/>
      <c r="I25" s="37"/>
      <c r="J25" s="37"/>
      <c r="K25" s="37"/>
      <c r="L25" s="37"/>
      <c r="M25" s="113">
        <v>34942</v>
      </c>
      <c r="N25" s="113">
        <v>34942</v>
      </c>
      <c r="O25" s="113">
        <v>34942</v>
      </c>
      <c r="P25" s="113">
        <v>38296</v>
      </c>
      <c r="Q25" s="113">
        <v>38296</v>
      </c>
      <c r="R25" s="113">
        <v>392758</v>
      </c>
      <c r="S25" s="113">
        <v>392758</v>
      </c>
      <c r="T25" s="113">
        <v>392758</v>
      </c>
      <c r="U25" s="113">
        <v>392758</v>
      </c>
      <c r="V25" s="77">
        <v>3.472</v>
      </c>
      <c r="W25" s="76">
        <f>'Школы-средняя'!S25</f>
        <v>1</v>
      </c>
      <c r="X25" s="81">
        <f>'Школы-средняя'!T25</f>
        <v>0.683</v>
      </c>
      <c r="Y25" s="54">
        <f>ROUND(D25*M25*V25*X25*W25/1000,1)+3.4</f>
        <v>2986.4</v>
      </c>
      <c r="Z25" s="54">
        <f t="shared" si="1"/>
        <v>0</v>
      </c>
      <c r="AA25" s="54">
        <f t="shared" si="2"/>
        <v>0</v>
      </c>
      <c r="AB25" s="54">
        <f t="shared" si="3"/>
        <v>0</v>
      </c>
      <c r="AC25" s="54">
        <f t="shared" si="4"/>
        <v>0</v>
      </c>
      <c r="AD25" s="54">
        <f t="shared" si="5"/>
        <v>0</v>
      </c>
      <c r="AE25" s="54">
        <f t="shared" si="6"/>
        <v>0</v>
      </c>
      <c r="AF25" s="54">
        <f t="shared" si="7"/>
        <v>0</v>
      </c>
      <c r="AG25" s="54">
        <f t="shared" si="8"/>
        <v>0</v>
      </c>
      <c r="AH25" s="54">
        <f t="shared" si="9"/>
        <v>2986.4</v>
      </c>
      <c r="AI25" s="68"/>
      <c r="AJ25" s="68"/>
    </row>
    <row r="26" spans="1:36" s="41" customFormat="1" ht="21" customHeight="1">
      <c r="A26" s="44">
        <v>19</v>
      </c>
      <c r="B26" s="36" t="s">
        <v>16</v>
      </c>
      <c r="C26" s="79">
        <v>5</v>
      </c>
      <c r="D26" s="66">
        <v>106</v>
      </c>
      <c r="E26" s="37"/>
      <c r="F26" s="37"/>
      <c r="G26" s="37"/>
      <c r="H26" s="37"/>
      <c r="I26" s="37"/>
      <c r="J26" s="37">
        <v>1</v>
      </c>
      <c r="K26" s="37"/>
      <c r="L26" s="37">
        <v>2</v>
      </c>
      <c r="M26" s="113">
        <v>34942</v>
      </c>
      <c r="N26" s="113">
        <v>34942</v>
      </c>
      <c r="O26" s="113">
        <v>34942</v>
      </c>
      <c r="P26" s="113">
        <v>38296</v>
      </c>
      <c r="Q26" s="113">
        <v>38296</v>
      </c>
      <c r="R26" s="113">
        <v>392758</v>
      </c>
      <c r="S26" s="113">
        <v>392758</v>
      </c>
      <c r="T26" s="113">
        <v>392758</v>
      </c>
      <c r="U26" s="113">
        <v>392758</v>
      </c>
      <c r="V26" s="77">
        <v>1.415</v>
      </c>
      <c r="W26" s="76">
        <f>'Школы-средняя'!S26</f>
        <v>1</v>
      </c>
      <c r="X26" s="81">
        <f>'Школы-средняя'!T26</f>
        <v>0.974</v>
      </c>
      <c r="Y26" s="54">
        <f t="shared" si="0"/>
        <v>5104.7</v>
      </c>
      <c r="Z26" s="54">
        <f t="shared" si="1"/>
        <v>0</v>
      </c>
      <c r="AA26" s="54">
        <f t="shared" si="2"/>
        <v>0</v>
      </c>
      <c r="AB26" s="54">
        <f t="shared" si="3"/>
        <v>0</v>
      </c>
      <c r="AC26" s="54">
        <f t="shared" si="4"/>
        <v>0</v>
      </c>
      <c r="AD26" s="54">
        <f t="shared" si="5"/>
        <v>0</v>
      </c>
      <c r="AE26" s="54">
        <f t="shared" si="6"/>
        <v>541.3</v>
      </c>
      <c r="AF26" s="54">
        <f t="shared" si="7"/>
        <v>0</v>
      </c>
      <c r="AG26" s="54">
        <f t="shared" si="8"/>
        <v>1082.6</v>
      </c>
      <c r="AH26" s="54">
        <f t="shared" si="9"/>
        <v>6728.6</v>
      </c>
      <c r="AI26" s="68"/>
      <c r="AJ26" s="68"/>
    </row>
    <row r="27" spans="1:36" s="41" customFormat="1" ht="15.75">
      <c r="A27" s="35">
        <v>20</v>
      </c>
      <c r="B27" s="36" t="s">
        <v>17</v>
      </c>
      <c r="C27" s="79">
        <v>5</v>
      </c>
      <c r="D27" s="66">
        <v>220</v>
      </c>
      <c r="E27" s="37">
        <v>1</v>
      </c>
      <c r="F27" s="37"/>
      <c r="G27" s="37"/>
      <c r="H27" s="37">
        <v>1</v>
      </c>
      <c r="I27" s="37"/>
      <c r="J27" s="37"/>
      <c r="K27" s="37"/>
      <c r="L27" s="37"/>
      <c r="M27" s="113">
        <v>34942</v>
      </c>
      <c r="N27" s="113">
        <v>34942</v>
      </c>
      <c r="O27" s="113">
        <v>34942</v>
      </c>
      <c r="P27" s="113">
        <v>38296</v>
      </c>
      <c r="Q27" s="113">
        <v>38296</v>
      </c>
      <c r="R27" s="113">
        <v>392758</v>
      </c>
      <c r="S27" s="113">
        <v>392758</v>
      </c>
      <c r="T27" s="113">
        <v>392758</v>
      </c>
      <c r="U27" s="113">
        <v>392758</v>
      </c>
      <c r="V27" s="77">
        <v>1.126</v>
      </c>
      <c r="W27" s="76">
        <f>'Школы-средняя'!S27</f>
        <v>1.095</v>
      </c>
      <c r="X27" s="81">
        <f>'Школы-средняя'!T27</f>
        <v>1</v>
      </c>
      <c r="Y27" s="54">
        <f t="shared" si="0"/>
        <v>9478.1</v>
      </c>
      <c r="Z27" s="54">
        <f t="shared" si="1"/>
        <v>43.1</v>
      </c>
      <c r="AA27" s="54">
        <f t="shared" si="2"/>
        <v>0</v>
      </c>
      <c r="AB27" s="54">
        <f t="shared" si="3"/>
        <v>0</v>
      </c>
      <c r="AC27" s="54">
        <f t="shared" si="4"/>
        <v>47.2</v>
      </c>
      <c r="AD27" s="54">
        <f t="shared" si="5"/>
        <v>0</v>
      </c>
      <c r="AE27" s="54">
        <f t="shared" si="6"/>
        <v>0</v>
      </c>
      <c r="AF27" s="54">
        <f t="shared" si="7"/>
        <v>0</v>
      </c>
      <c r="AG27" s="54">
        <f t="shared" si="8"/>
        <v>0</v>
      </c>
      <c r="AH27" s="54">
        <f t="shared" si="9"/>
        <v>9568.400000000001</v>
      </c>
      <c r="AI27" s="68"/>
      <c r="AJ27" s="68"/>
    </row>
    <row r="28" spans="1:36" s="41" customFormat="1" ht="15.75">
      <c r="A28" s="44">
        <v>21</v>
      </c>
      <c r="B28" s="36" t="s">
        <v>18</v>
      </c>
      <c r="C28" s="79">
        <v>5</v>
      </c>
      <c r="D28" s="66">
        <v>29</v>
      </c>
      <c r="E28" s="66">
        <v>1</v>
      </c>
      <c r="F28" s="66">
        <v>2</v>
      </c>
      <c r="G28" s="66"/>
      <c r="H28" s="66"/>
      <c r="I28" s="37"/>
      <c r="J28" s="37"/>
      <c r="K28" s="66"/>
      <c r="L28" s="66"/>
      <c r="M28" s="113">
        <v>34942</v>
      </c>
      <c r="N28" s="113">
        <v>34942</v>
      </c>
      <c r="O28" s="113">
        <v>34942</v>
      </c>
      <c r="P28" s="113">
        <v>38296</v>
      </c>
      <c r="Q28" s="113">
        <v>38296</v>
      </c>
      <c r="R28" s="113">
        <v>392758</v>
      </c>
      <c r="S28" s="113">
        <v>392758</v>
      </c>
      <c r="T28" s="113">
        <v>392758</v>
      </c>
      <c r="U28" s="113">
        <v>392758</v>
      </c>
      <c r="V28" s="77">
        <v>3.906</v>
      </c>
      <c r="W28" s="76">
        <f>'Школы-средняя'!S28</f>
        <v>1</v>
      </c>
      <c r="X28" s="81">
        <f>'Школы-средняя'!T28</f>
        <v>0.875</v>
      </c>
      <c r="Y28" s="54">
        <f>ROUND(D28*M28*V28*X28*W28/1000,1)+1.8</f>
        <v>3465.1000000000004</v>
      </c>
      <c r="Z28" s="54">
        <f t="shared" si="1"/>
        <v>119.4</v>
      </c>
      <c r="AA28" s="54">
        <f t="shared" si="2"/>
        <v>238.8</v>
      </c>
      <c r="AB28" s="54">
        <f t="shared" si="3"/>
        <v>0</v>
      </c>
      <c r="AC28" s="54">
        <f t="shared" si="4"/>
        <v>0</v>
      </c>
      <c r="AD28" s="54">
        <f t="shared" si="5"/>
        <v>0</v>
      </c>
      <c r="AE28" s="54">
        <f t="shared" si="6"/>
        <v>0</v>
      </c>
      <c r="AF28" s="54">
        <f t="shared" si="7"/>
        <v>0</v>
      </c>
      <c r="AG28" s="54">
        <f t="shared" si="8"/>
        <v>0</v>
      </c>
      <c r="AH28" s="54">
        <f t="shared" si="9"/>
        <v>3823.3000000000006</v>
      </c>
      <c r="AI28" s="68"/>
      <c r="AJ28" s="68"/>
    </row>
    <row r="29" spans="1:36" s="41" customFormat="1" ht="15" customHeight="1">
      <c r="A29" s="35">
        <v>22</v>
      </c>
      <c r="B29" s="36" t="s">
        <v>19</v>
      </c>
      <c r="C29" s="79">
        <v>5</v>
      </c>
      <c r="D29" s="66">
        <v>118</v>
      </c>
      <c r="E29" s="66"/>
      <c r="F29" s="66">
        <v>2</v>
      </c>
      <c r="G29" s="66"/>
      <c r="H29" s="66"/>
      <c r="I29" s="37"/>
      <c r="J29" s="37"/>
      <c r="K29" s="66"/>
      <c r="L29" s="66"/>
      <c r="M29" s="113">
        <v>34942</v>
      </c>
      <c r="N29" s="113">
        <v>34942</v>
      </c>
      <c r="O29" s="113">
        <v>34942</v>
      </c>
      <c r="P29" s="113">
        <v>38296</v>
      </c>
      <c r="Q29" s="113">
        <v>38296</v>
      </c>
      <c r="R29" s="113">
        <v>392758</v>
      </c>
      <c r="S29" s="113">
        <v>392758</v>
      </c>
      <c r="T29" s="113">
        <v>392758</v>
      </c>
      <c r="U29" s="113">
        <v>392758</v>
      </c>
      <c r="V29" s="77">
        <v>1.25</v>
      </c>
      <c r="W29" s="76">
        <f>'Школы-средняя'!S29</f>
        <v>1</v>
      </c>
      <c r="X29" s="81">
        <f>'Школы-средняя'!T29</f>
        <v>0.936</v>
      </c>
      <c r="Y29" s="54">
        <f t="shared" si="0"/>
        <v>4824.1</v>
      </c>
      <c r="Z29" s="54">
        <f t="shared" si="1"/>
        <v>0</v>
      </c>
      <c r="AA29" s="54">
        <f t="shared" si="2"/>
        <v>81.8</v>
      </c>
      <c r="AB29" s="54">
        <f t="shared" si="3"/>
        <v>0</v>
      </c>
      <c r="AC29" s="54">
        <f t="shared" si="4"/>
        <v>0</v>
      </c>
      <c r="AD29" s="54">
        <f t="shared" si="5"/>
        <v>0</v>
      </c>
      <c r="AE29" s="54">
        <f t="shared" si="6"/>
        <v>0</v>
      </c>
      <c r="AF29" s="54">
        <f t="shared" si="7"/>
        <v>0</v>
      </c>
      <c r="AG29" s="54">
        <f t="shared" si="8"/>
        <v>0</v>
      </c>
      <c r="AH29" s="54">
        <f t="shared" si="9"/>
        <v>4905.900000000001</v>
      </c>
      <c r="AI29" s="68"/>
      <c r="AJ29" s="68"/>
    </row>
    <row r="30" spans="1:36" s="41" customFormat="1" ht="18.75" customHeight="1">
      <c r="A30" s="44">
        <v>23</v>
      </c>
      <c r="B30" s="36" t="s">
        <v>20</v>
      </c>
      <c r="C30" s="79">
        <v>6</v>
      </c>
      <c r="D30" s="66">
        <v>38</v>
      </c>
      <c r="E30" s="37">
        <v>2</v>
      </c>
      <c r="F30" s="66"/>
      <c r="G30" s="66"/>
      <c r="H30" s="37">
        <v>3</v>
      </c>
      <c r="I30" s="37"/>
      <c r="J30" s="37"/>
      <c r="K30" s="37"/>
      <c r="L30" s="37"/>
      <c r="M30" s="113">
        <v>38236</v>
      </c>
      <c r="N30" s="113">
        <v>38236</v>
      </c>
      <c r="O30" s="113">
        <v>38236</v>
      </c>
      <c r="P30" s="113">
        <v>42418</v>
      </c>
      <c r="Q30" s="113">
        <v>42418</v>
      </c>
      <c r="R30" s="113">
        <v>392758</v>
      </c>
      <c r="S30" s="113">
        <v>392758</v>
      </c>
      <c r="T30" s="113">
        <v>392758</v>
      </c>
      <c r="U30" s="113">
        <v>392758</v>
      </c>
      <c r="V30" s="77">
        <v>2.907</v>
      </c>
      <c r="W30" s="76">
        <f>'Школы-средняя'!S30</f>
        <v>1</v>
      </c>
      <c r="X30" s="81">
        <f>'Школы-средняя'!T30</f>
        <v>0.905</v>
      </c>
      <c r="Y30" s="54">
        <f t="shared" si="0"/>
        <v>3822.5</v>
      </c>
      <c r="Z30" s="54">
        <f t="shared" si="1"/>
        <v>201.2</v>
      </c>
      <c r="AA30" s="54">
        <f t="shared" si="2"/>
        <v>0</v>
      </c>
      <c r="AB30" s="54">
        <f t="shared" si="3"/>
        <v>0</v>
      </c>
      <c r="AC30" s="54">
        <f t="shared" si="4"/>
        <v>334.8</v>
      </c>
      <c r="AD30" s="54">
        <f t="shared" si="5"/>
        <v>0</v>
      </c>
      <c r="AE30" s="54">
        <f t="shared" si="6"/>
        <v>0</v>
      </c>
      <c r="AF30" s="54">
        <f t="shared" si="7"/>
        <v>0</v>
      </c>
      <c r="AG30" s="54">
        <f t="shared" si="8"/>
        <v>0</v>
      </c>
      <c r="AH30" s="54">
        <f t="shared" si="9"/>
        <v>4358.5</v>
      </c>
      <c r="AI30" s="68"/>
      <c r="AJ30" s="68"/>
    </row>
    <row r="31" spans="1:36" s="41" customFormat="1" ht="15.75">
      <c r="A31" s="35">
        <v>24</v>
      </c>
      <c r="B31" s="36" t="s">
        <v>21</v>
      </c>
      <c r="C31" s="79">
        <v>5</v>
      </c>
      <c r="D31" s="66">
        <v>25</v>
      </c>
      <c r="E31" s="37"/>
      <c r="F31" s="66"/>
      <c r="G31" s="66">
        <v>1</v>
      </c>
      <c r="H31" s="66"/>
      <c r="I31" s="37"/>
      <c r="J31" s="37"/>
      <c r="K31" s="66"/>
      <c r="L31" s="37"/>
      <c r="M31" s="113">
        <v>34942</v>
      </c>
      <c r="N31" s="113">
        <v>34942</v>
      </c>
      <c r="O31" s="113">
        <v>34942</v>
      </c>
      <c r="P31" s="113">
        <v>38296</v>
      </c>
      <c r="Q31" s="113">
        <v>38296</v>
      </c>
      <c r="R31" s="113">
        <v>392758</v>
      </c>
      <c r="S31" s="113">
        <v>392758</v>
      </c>
      <c r="T31" s="113">
        <v>392758</v>
      </c>
      <c r="U31" s="113">
        <v>392758</v>
      </c>
      <c r="V31" s="77">
        <v>4.808</v>
      </c>
      <c r="W31" s="76">
        <f>'Школы-средняя'!S31</f>
        <v>1</v>
      </c>
      <c r="X31" s="81">
        <f>'Школы-средняя'!T31</f>
        <v>0.883</v>
      </c>
      <c r="Y31" s="54">
        <f>ROUND(D31*M31*V31*X31*W31/1000,1)+1</f>
        <v>3709.6</v>
      </c>
      <c r="Z31" s="54">
        <f t="shared" si="1"/>
        <v>0</v>
      </c>
      <c r="AA31" s="54">
        <f t="shared" si="2"/>
        <v>0</v>
      </c>
      <c r="AB31" s="54">
        <f t="shared" si="3"/>
        <v>162.6</v>
      </c>
      <c r="AC31" s="54">
        <f t="shared" si="4"/>
        <v>0</v>
      </c>
      <c r="AD31" s="54">
        <f t="shared" si="5"/>
        <v>0</v>
      </c>
      <c r="AE31" s="54">
        <f t="shared" si="6"/>
        <v>0</v>
      </c>
      <c r="AF31" s="54">
        <f t="shared" si="7"/>
        <v>0</v>
      </c>
      <c r="AG31" s="54">
        <f t="shared" si="8"/>
        <v>0</v>
      </c>
      <c r="AH31" s="54">
        <f t="shared" si="9"/>
        <v>3872.2</v>
      </c>
      <c r="AI31" s="68"/>
      <c r="AJ31" s="68"/>
    </row>
    <row r="32" spans="1:36" s="41" customFormat="1" ht="15.75">
      <c r="A32" s="44">
        <v>25</v>
      </c>
      <c r="B32" s="36" t="s">
        <v>22</v>
      </c>
      <c r="C32" s="79">
        <v>6</v>
      </c>
      <c r="D32" s="66">
        <v>27</v>
      </c>
      <c r="E32" s="37"/>
      <c r="F32" s="66"/>
      <c r="G32" s="66"/>
      <c r="H32" s="66"/>
      <c r="I32" s="37"/>
      <c r="J32" s="37"/>
      <c r="K32" s="66"/>
      <c r="L32" s="66"/>
      <c r="M32" s="113">
        <v>38236</v>
      </c>
      <c r="N32" s="113">
        <v>38236</v>
      </c>
      <c r="O32" s="113">
        <v>38236</v>
      </c>
      <c r="P32" s="113">
        <v>42418</v>
      </c>
      <c r="Q32" s="113">
        <v>42418</v>
      </c>
      <c r="R32" s="113">
        <v>392758</v>
      </c>
      <c r="S32" s="113">
        <v>392758</v>
      </c>
      <c r="T32" s="113">
        <v>392758</v>
      </c>
      <c r="U32" s="113">
        <v>392758</v>
      </c>
      <c r="V32" s="77">
        <v>4.63</v>
      </c>
      <c r="W32" s="76">
        <f>'Школы-средняя'!S32</f>
        <v>1</v>
      </c>
      <c r="X32" s="81">
        <f>'Школы-средняя'!T32</f>
        <v>0.939</v>
      </c>
      <c r="Y32" s="54">
        <f>ROUND(D32*M32*V32*X32*W32/1000,1)+3.1</f>
        <v>4491.400000000001</v>
      </c>
      <c r="Z32" s="54">
        <f t="shared" si="1"/>
        <v>0</v>
      </c>
      <c r="AA32" s="54">
        <f t="shared" si="2"/>
        <v>0</v>
      </c>
      <c r="AB32" s="54">
        <f t="shared" si="3"/>
        <v>0</v>
      </c>
      <c r="AC32" s="54">
        <f t="shared" si="4"/>
        <v>0</v>
      </c>
      <c r="AD32" s="54">
        <f t="shared" si="5"/>
        <v>0</v>
      </c>
      <c r="AE32" s="54">
        <f t="shared" si="6"/>
        <v>0</v>
      </c>
      <c r="AF32" s="54">
        <f t="shared" si="7"/>
        <v>0</v>
      </c>
      <c r="AG32" s="54">
        <f t="shared" si="8"/>
        <v>0</v>
      </c>
      <c r="AH32" s="54">
        <f t="shared" si="9"/>
        <v>4491.400000000001</v>
      </c>
      <c r="AI32" s="68"/>
      <c r="AJ32" s="68"/>
    </row>
    <row r="33" spans="1:36" s="41" customFormat="1" ht="15.75">
      <c r="A33" s="35">
        <v>26</v>
      </c>
      <c r="B33" s="36" t="s">
        <v>23</v>
      </c>
      <c r="C33" s="79">
        <v>5</v>
      </c>
      <c r="D33" s="121">
        <v>61</v>
      </c>
      <c r="E33" s="122">
        <v>1</v>
      </c>
      <c r="F33" s="37"/>
      <c r="G33" s="37"/>
      <c r="H33" s="37"/>
      <c r="I33" s="37">
        <v>1</v>
      </c>
      <c r="J33" s="37"/>
      <c r="K33" s="37"/>
      <c r="L33" s="37"/>
      <c r="M33" s="113">
        <v>34942</v>
      </c>
      <c r="N33" s="113">
        <v>34942</v>
      </c>
      <c r="O33" s="113">
        <v>34942</v>
      </c>
      <c r="P33" s="113">
        <v>38296</v>
      </c>
      <c r="Q33" s="113">
        <v>38296</v>
      </c>
      <c r="R33" s="113">
        <v>392758</v>
      </c>
      <c r="S33" s="113">
        <v>392758</v>
      </c>
      <c r="T33" s="113">
        <v>392758</v>
      </c>
      <c r="U33" s="113">
        <v>392758</v>
      </c>
      <c r="V33" s="77">
        <v>2.016</v>
      </c>
      <c r="W33" s="76">
        <f>'Школы-средняя'!S33</f>
        <v>1</v>
      </c>
      <c r="X33" s="81">
        <f>'Школы-средняя'!T33</f>
        <v>0.74</v>
      </c>
      <c r="Y33" s="54">
        <f t="shared" si="0"/>
        <v>3179.8</v>
      </c>
      <c r="Z33" s="54">
        <f t="shared" si="1"/>
        <v>52.1</v>
      </c>
      <c r="AA33" s="54">
        <f t="shared" si="2"/>
        <v>0</v>
      </c>
      <c r="AB33" s="54">
        <f t="shared" si="3"/>
        <v>0</v>
      </c>
      <c r="AC33" s="54">
        <f t="shared" si="4"/>
        <v>0</v>
      </c>
      <c r="AD33" s="54">
        <f t="shared" si="5"/>
        <v>585.9</v>
      </c>
      <c r="AE33" s="54">
        <f t="shared" si="6"/>
        <v>0</v>
      </c>
      <c r="AF33" s="54">
        <f t="shared" si="7"/>
        <v>0</v>
      </c>
      <c r="AG33" s="54">
        <f t="shared" si="8"/>
        <v>0</v>
      </c>
      <c r="AH33" s="54">
        <f t="shared" si="9"/>
        <v>3817.8</v>
      </c>
      <c r="AI33" s="68"/>
      <c r="AJ33" s="68"/>
    </row>
    <row r="34" spans="1:36" s="41" customFormat="1" ht="24" customHeight="1">
      <c r="A34" s="44">
        <v>27</v>
      </c>
      <c r="B34" s="36" t="s">
        <v>24</v>
      </c>
      <c r="C34" s="79">
        <v>5</v>
      </c>
      <c r="D34" s="66">
        <v>50</v>
      </c>
      <c r="E34" s="37">
        <v>1</v>
      </c>
      <c r="F34" s="37"/>
      <c r="G34" s="37"/>
      <c r="H34" s="37"/>
      <c r="I34" s="37"/>
      <c r="J34" s="37">
        <v>1</v>
      </c>
      <c r="K34" s="37"/>
      <c r="L34" s="37"/>
      <c r="M34" s="113">
        <v>34942</v>
      </c>
      <c r="N34" s="113">
        <v>34942</v>
      </c>
      <c r="O34" s="113">
        <v>34942</v>
      </c>
      <c r="P34" s="113">
        <v>38296</v>
      </c>
      <c r="Q34" s="113">
        <v>38296</v>
      </c>
      <c r="R34" s="113">
        <v>392758</v>
      </c>
      <c r="S34" s="113">
        <v>392758</v>
      </c>
      <c r="T34" s="113">
        <v>392758</v>
      </c>
      <c r="U34" s="113">
        <v>392758</v>
      </c>
      <c r="V34" s="77">
        <v>2.451</v>
      </c>
      <c r="W34" s="76">
        <f>'Школы-средняя'!S34</f>
        <v>1</v>
      </c>
      <c r="X34" s="81">
        <f>'Школы-средняя'!T34</f>
        <v>0.834</v>
      </c>
      <c r="Y34" s="54">
        <f t="shared" si="0"/>
        <v>3571.3</v>
      </c>
      <c r="Z34" s="54">
        <f t="shared" si="1"/>
        <v>71.4</v>
      </c>
      <c r="AA34" s="54">
        <f t="shared" si="2"/>
        <v>0</v>
      </c>
      <c r="AB34" s="54">
        <f t="shared" si="3"/>
        <v>0</v>
      </c>
      <c r="AC34" s="54">
        <f t="shared" si="4"/>
        <v>0</v>
      </c>
      <c r="AD34" s="54">
        <f t="shared" si="5"/>
        <v>0</v>
      </c>
      <c r="AE34" s="54">
        <f t="shared" si="6"/>
        <v>802.8</v>
      </c>
      <c r="AF34" s="54">
        <f t="shared" si="7"/>
        <v>0</v>
      </c>
      <c r="AG34" s="54">
        <f t="shared" si="8"/>
        <v>0</v>
      </c>
      <c r="AH34" s="54">
        <f t="shared" si="9"/>
        <v>4445.5</v>
      </c>
      <c r="AI34" s="68"/>
      <c r="AJ34" s="68"/>
    </row>
    <row r="35" spans="1:36" s="41" customFormat="1" ht="18" customHeight="1">
      <c r="A35" s="35">
        <v>28</v>
      </c>
      <c r="B35" s="36" t="s">
        <v>25</v>
      </c>
      <c r="C35" s="79">
        <v>5</v>
      </c>
      <c r="D35" s="66">
        <v>26</v>
      </c>
      <c r="E35" s="37">
        <v>2</v>
      </c>
      <c r="F35" s="37"/>
      <c r="G35" s="37"/>
      <c r="H35" s="37">
        <v>4</v>
      </c>
      <c r="I35" s="37"/>
      <c r="J35" s="37"/>
      <c r="K35" s="37"/>
      <c r="L35" s="37"/>
      <c r="M35" s="113">
        <v>34942</v>
      </c>
      <c r="N35" s="113">
        <v>34942</v>
      </c>
      <c r="O35" s="113">
        <v>34942</v>
      </c>
      <c r="P35" s="113">
        <v>38296</v>
      </c>
      <c r="Q35" s="113">
        <v>38296</v>
      </c>
      <c r="R35" s="113">
        <v>392758</v>
      </c>
      <c r="S35" s="113">
        <v>392758</v>
      </c>
      <c r="T35" s="113">
        <v>392758</v>
      </c>
      <c r="U35" s="113">
        <v>392758</v>
      </c>
      <c r="V35" s="77">
        <v>3.906</v>
      </c>
      <c r="W35" s="76">
        <f>'Школы-средняя'!S35</f>
        <v>1</v>
      </c>
      <c r="X35" s="81">
        <f>'Школы-средняя'!T35</f>
        <v>0.816</v>
      </c>
      <c r="Y35" s="54">
        <f>ROUND(D35*M35*V35*X35*W35/1000,1)+2.4</f>
        <v>2898</v>
      </c>
      <c r="Z35" s="54">
        <f t="shared" si="1"/>
        <v>222.7</v>
      </c>
      <c r="AA35" s="54">
        <f t="shared" si="2"/>
        <v>0</v>
      </c>
      <c r="AB35" s="54">
        <f t="shared" si="3"/>
        <v>0</v>
      </c>
      <c r="AC35" s="54">
        <f t="shared" si="4"/>
        <v>488.2</v>
      </c>
      <c r="AD35" s="54">
        <f t="shared" si="5"/>
        <v>0</v>
      </c>
      <c r="AE35" s="54">
        <f t="shared" si="6"/>
        <v>0</v>
      </c>
      <c r="AF35" s="54">
        <f t="shared" si="7"/>
        <v>0</v>
      </c>
      <c r="AG35" s="54">
        <f t="shared" si="8"/>
        <v>0</v>
      </c>
      <c r="AH35" s="54">
        <f t="shared" si="9"/>
        <v>3608.8999999999996</v>
      </c>
      <c r="AI35" s="68"/>
      <c r="AJ35" s="68"/>
    </row>
    <row r="36" spans="1:36" s="41" customFormat="1" ht="18.75" customHeight="1">
      <c r="A36" s="44">
        <v>29</v>
      </c>
      <c r="B36" s="36" t="s">
        <v>26</v>
      </c>
      <c r="C36" s="79">
        <v>6</v>
      </c>
      <c r="D36" s="66">
        <v>42</v>
      </c>
      <c r="E36" s="37"/>
      <c r="F36" s="37"/>
      <c r="G36" s="37"/>
      <c r="H36" s="37"/>
      <c r="I36" s="37"/>
      <c r="J36" s="37"/>
      <c r="K36" s="37"/>
      <c r="L36" s="37"/>
      <c r="M36" s="113">
        <v>38236</v>
      </c>
      <c r="N36" s="113">
        <v>38236</v>
      </c>
      <c r="O36" s="113">
        <v>38236</v>
      </c>
      <c r="P36" s="113">
        <v>42418</v>
      </c>
      <c r="Q36" s="113">
        <v>42418</v>
      </c>
      <c r="R36" s="113">
        <v>392758</v>
      </c>
      <c r="S36" s="113">
        <v>392758</v>
      </c>
      <c r="T36" s="113">
        <v>392758</v>
      </c>
      <c r="U36" s="113">
        <v>392758</v>
      </c>
      <c r="V36" s="77">
        <v>2.976</v>
      </c>
      <c r="W36" s="76">
        <f>'Школы-средняя'!S36</f>
        <v>1</v>
      </c>
      <c r="X36" s="81">
        <f>'Школы-средняя'!T36</f>
        <v>0.9222</v>
      </c>
      <c r="Y36" s="54">
        <f t="shared" si="0"/>
        <v>4407.4</v>
      </c>
      <c r="Z36" s="54">
        <f t="shared" si="1"/>
        <v>0</v>
      </c>
      <c r="AA36" s="54">
        <f t="shared" si="2"/>
        <v>0</v>
      </c>
      <c r="AB36" s="54">
        <f t="shared" si="3"/>
        <v>0</v>
      </c>
      <c r="AC36" s="54">
        <f t="shared" si="4"/>
        <v>0</v>
      </c>
      <c r="AD36" s="54">
        <f t="shared" si="5"/>
        <v>0</v>
      </c>
      <c r="AE36" s="54">
        <f t="shared" si="6"/>
        <v>0</v>
      </c>
      <c r="AF36" s="54">
        <f t="shared" si="7"/>
        <v>0</v>
      </c>
      <c r="AG36" s="54">
        <f t="shared" si="8"/>
        <v>0</v>
      </c>
      <c r="AH36" s="54">
        <f t="shared" si="9"/>
        <v>4407.4</v>
      </c>
      <c r="AI36" s="68"/>
      <c r="AJ36" s="68"/>
    </row>
    <row r="37" spans="1:36" s="41" customFormat="1" ht="32.25" customHeight="1">
      <c r="A37" s="35">
        <v>30</v>
      </c>
      <c r="B37" s="36" t="s">
        <v>27</v>
      </c>
      <c r="C37" s="79">
        <v>6</v>
      </c>
      <c r="D37" s="66">
        <v>23</v>
      </c>
      <c r="E37" s="37"/>
      <c r="F37" s="37"/>
      <c r="G37" s="37"/>
      <c r="H37" s="37"/>
      <c r="I37" s="37"/>
      <c r="J37" s="37"/>
      <c r="K37" s="37"/>
      <c r="L37" s="37"/>
      <c r="M37" s="113">
        <v>38236</v>
      </c>
      <c r="N37" s="113">
        <v>38236</v>
      </c>
      <c r="O37" s="113">
        <v>38236</v>
      </c>
      <c r="P37" s="113">
        <v>42418</v>
      </c>
      <c r="Q37" s="113">
        <v>42418</v>
      </c>
      <c r="R37" s="113">
        <v>392758</v>
      </c>
      <c r="S37" s="113">
        <v>392758</v>
      </c>
      <c r="T37" s="113">
        <v>392758</v>
      </c>
      <c r="U37" s="113">
        <v>392758</v>
      </c>
      <c r="V37" s="77">
        <v>5.435</v>
      </c>
      <c r="W37" s="76">
        <f>'Школы-средняя'!S37</f>
        <v>1</v>
      </c>
      <c r="X37" s="81">
        <f>'Школы-средняя'!T37</f>
        <v>0.91</v>
      </c>
      <c r="Y37" s="54">
        <f>ROUND(D37*M37*V37*X37*W37/1000,1)-1.5</f>
        <v>4348</v>
      </c>
      <c r="Z37" s="54">
        <f t="shared" si="1"/>
        <v>0</v>
      </c>
      <c r="AA37" s="54">
        <f t="shared" si="2"/>
        <v>0</v>
      </c>
      <c r="AB37" s="54">
        <f t="shared" si="3"/>
        <v>0</v>
      </c>
      <c r="AC37" s="54">
        <f t="shared" si="4"/>
        <v>0</v>
      </c>
      <c r="AD37" s="54">
        <f t="shared" si="5"/>
        <v>0</v>
      </c>
      <c r="AE37" s="54">
        <f t="shared" si="6"/>
        <v>0</v>
      </c>
      <c r="AF37" s="54">
        <f t="shared" si="7"/>
        <v>0</v>
      </c>
      <c r="AG37" s="54">
        <f t="shared" si="8"/>
        <v>0</v>
      </c>
      <c r="AH37" s="54">
        <f t="shared" si="9"/>
        <v>4348</v>
      </c>
      <c r="AI37" s="68"/>
      <c r="AJ37" s="68"/>
    </row>
    <row r="38" spans="1:36" s="41" customFormat="1" ht="15.75">
      <c r="A38" s="44">
        <v>31</v>
      </c>
      <c r="B38" s="36" t="s">
        <v>28</v>
      </c>
      <c r="C38" s="79">
        <v>5</v>
      </c>
      <c r="D38" s="66">
        <v>46</v>
      </c>
      <c r="E38" s="66"/>
      <c r="F38" s="66"/>
      <c r="G38" s="66"/>
      <c r="H38" s="66"/>
      <c r="I38" s="66"/>
      <c r="J38" s="37"/>
      <c r="K38" s="66"/>
      <c r="L38" s="37"/>
      <c r="M38" s="113">
        <v>34942</v>
      </c>
      <c r="N38" s="113">
        <v>34942</v>
      </c>
      <c r="O38" s="113">
        <v>34942</v>
      </c>
      <c r="P38" s="113">
        <v>38296</v>
      </c>
      <c r="Q38" s="113">
        <v>38296</v>
      </c>
      <c r="R38" s="113">
        <v>392758</v>
      </c>
      <c r="S38" s="113">
        <v>392758</v>
      </c>
      <c r="T38" s="113">
        <v>392758</v>
      </c>
      <c r="U38" s="113">
        <v>392758</v>
      </c>
      <c r="V38" s="77">
        <v>2.717</v>
      </c>
      <c r="W38" s="76">
        <f>'Школы-средняя'!S38</f>
        <v>1</v>
      </c>
      <c r="X38" s="81">
        <f>'Школы-средняя'!T38</f>
        <v>0.985</v>
      </c>
      <c r="Y38" s="54">
        <f t="shared" si="0"/>
        <v>4301.6</v>
      </c>
      <c r="Z38" s="54">
        <f t="shared" si="1"/>
        <v>0</v>
      </c>
      <c r="AA38" s="54">
        <f t="shared" si="2"/>
        <v>0</v>
      </c>
      <c r="AB38" s="54">
        <f t="shared" si="3"/>
        <v>0</v>
      </c>
      <c r="AC38" s="54">
        <f t="shared" si="4"/>
        <v>0</v>
      </c>
      <c r="AD38" s="54">
        <f t="shared" si="5"/>
        <v>0</v>
      </c>
      <c r="AE38" s="54">
        <f t="shared" si="6"/>
        <v>0</v>
      </c>
      <c r="AF38" s="54">
        <f t="shared" si="7"/>
        <v>0</v>
      </c>
      <c r="AG38" s="54">
        <f t="shared" si="8"/>
        <v>0</v>
      </c>
      <c r="AH38" s="54">
        <f t="shared" si="9"/>
        <v>4301.6</v>
      </c>
      <c r="AI38" s="68"/>
      <c r="AJ38" s="68"/>
    </row>
    <row r="39" spans="1:36" s="41" customFormat="1" ht="20.25" customHeight="1">
      <c r="A39" s="35">
        <v>32</v>
      </c>
      <c r="B39" s="36" t="s">
        <v>29</v>
      </c>
      <c r="C39" s="79">
        <v>5</v>
      </c>
      <c r="D39" s="66">
        <v>33</v>
      </c>
      <c r="E39" s="66"/>
      <c r="F39" s="66"/>
      <c r="G39" s="66"/>
      <c r="H39" s="66"/>
      <c r="I39" s="66"/>
      <c r="J39" s="37"/>
      <c r="K39" s="66">
        <v>1</v>
      </c>
      <c r="L39" s="37"/>
      <c r="M39" s="113">
        <v>34942</v>
      </c>
      <c r="N39" s="113">
        <v>34942</v>
      </c>
      <c r="O39" s="113">
        <v>34942</v>
      </c>
      <c r="P39" s="113">
        <v>38296</v>
      </c>
      <c r="Q39" s="113">
        <v>38296</v>
      </c>
      <c r="R39" s="113">
        <v>392758</v>
      </c>
      <c r="S39" s="113">
        <v>392758</v>
      </c>
      <c r="T39" s="113">
        <v>392758</v>
      </c>
      <c r="U39" s="113">
        <v>392758</v>
      </c>
      <c r="V39" s="77">
        <v>3.788</v>
      </c>
      <c r="W39" s="76">
        <f>'Школы-средняя'!S39</f>
        <v>1</v>
      </c>
      <c r="X39" s="81">
        <f>'Школы-средняя'!T39</f>
        <v>0.761</v>
      </c>
      <c r="Y39" s="54">
        <f>ROUND(D39*M39*V39*X39*W39/1000,1)-1.2</f>
        <v>3322.8</v>
      </c>
      <c r="Z39" s="54">
        <f t="shared" si="1"/>
        <v>0</v>
      </c>
      <c r="AA39" s="54">
        <f t="shared" si="2"/>
        <v>0</v>
      </c>
      <c r="AB39" s="54">
        <f t="shared" si="3"/>
        <v>0</v>
      </c>
      <c r="AC39" s="54">
        <f t="shared" si="4"/>
        <v>0</v>
      </c>
      <c r="AD39" s="54">
        <f t="shared" si="5"/>
        <v>0</v>
      </c>
      <c r="AE39" s="54">
        <f t="shared" si="6"/>
        <v>0</v>
      </c>
      <c r="AF39" s="54">
        <f t="shared" si="7"/>
        <v>1132.2</v>
      </c>
      <c r="AG39" s="54">
        <f t="shared" si="8"/>
        <v>0</v>
      </c>
      <c r="AH39" s="54">
        <f t="shared" si="9"/>
        <v>4455</v>
      </c>
      <c r="AI39" s="68"/>
      <c r="AJ39" s="68"/>
    </row>
    <row r="40" spans="1:36" s="41" customFormat="1" ht="18" customHeight="1">
      <c r="A40" s="44">
        <v>33</v>
      </c>
      <c r="B40" s="36" t="s">
        <v>30</v>
      </c>
      <c r="C40" s="79">
        <v>6</v>
      </c>
      <c r="D40" s="66">
        <v>22</v>
      </c>
      <c r="E40" s="66"/>
      <c r="F40" s="66"/>
      <c r="G40" s="66"/>
      <c r="H40" s="66"/>
      <c r="I40" s="66"/>
      <c r="J40" s="37"/>
      <c r="K40" s="66">
        <v>1</v>
      </c>
      <c r="L40" s="66"/>
      <c r="M40" s="113">
        <v>38236</v>
      </c>
      <c r="N40" s="113">
        <v>38236</v>
      </c>
      <c r="O40" s="113">
        <v>38236</v>
      </c>
      <c r="P40" s="113">
        <v>42418</v>
      </c>
      <c r="Q40" s="113">
        <v>42418</v>
      </c>
      <c r="R40" s="113">
        <v>392758</v>
      </c>
      <c r="S40" s="113">
        <v>392758</v>
      </c>
      <c r="T40" s="113">
        <v>392758</v>
      </c>
      <c r="U40" s="113">
        <v>392758</v>
      </c>
      <c r="V40" s="77">
        <v>5.682</v>
      </c>
      <c r="W40" s="76">
        <f>'Школы-средняя'!S40</f>
        <v>1</v>
      </c>
      <c r="X40" s="81">
        <f>'Школы-средняя'!T40</f>
        <v>0.663</v>
      </c>
      <c r="Y40" s="54">
        <f>ROUND(D40*M40*V40*X40*W40/1000,1)-2.1</f>
        <v>3166.8</v>
      </c>
      <c r="Z40" s="54">
        <f t="shared" si="1"/>
        <v>0</v>
      </c>
      <c r="AA40" s="54">
        <f t="shared" si="2"/>
        <v>0</v>
      </c>
      <c r="AB40" s="54">
        <f t="shared" si="3"/>
        <v>0</v>
      </c>
      <c r="AC40" s="54">
        <f t="shared" si="4"/>
        <v>0</v>
      </c>
      <c r="AD40" s="54">
        <f t="shared" si="5"/>
        <v>0</v>
      </c>
      <c r="AE40" s="54">
        <f t="shared" si="6"/>
        <v>0</v>
      </c>
      <c r="AF40" s="54">
        <f t="shared" si="7"/>
        <v>1479.6</v>
      </c>
      <c r="AG40" s="54">
        <f t="shared" si="8"/>
        <v>0</v>
      </c>
      <c r="AH40" s="54">
        <f t="shared" si="9"/>
        <v>4646.4</v>
      </c>
      <c r="AI40" s="68"/>
      <c r="AJ40" s="68"/>
    </row>
    <row r="41" spans="1:36" s="41" customFormat="1" ht="15.75">
      <c r="A41" s="35">
        <v>34</v>
      </c>
      <c r="B41" s="36" t="s">
        <v>31</v>
      </c>
      <c r="C41" s="79">
        <v>5</v>
      </c>
      <c r="D41" s="66">
        <v>105</v>
      </c>
      <c r="E41" s="37">
        <v>1</v>
      </c>
      <c r="F41" s="37"/>
      <c r="G41" s="37"/>
      <c r="H41" s="37">
        <v>2</v>
      </c>
      <c r="I41" s="37">
        <v>1</v>
      </c>
      <c r="J41" s="37"/>
      <c r="K41" s="37"/>
      <c r="L41" s="37"/>
      <c r="M41" s="113">
        <v>34942</v>
      </c>
      <c r="N41" s="113">
        <v>34942</v>
      </c>
      <c r="O41" s="113">
        <v>34942</v>
      </c>
      <c r="P41" s="113">
        <v>38296</v>
      </c>
      <c r="Q41" s="113">
        <v>38296</v>
      </c>
      <c r="R41" s="113">
        <v>392758</v>
      </c>
      <c r="S41" s="113">
        <v>392758</v>
      </c>
      <c r="T41" s="113">
        <v>392758</v>
      </c>
      <c r="U41" s="113">
        <v>392758</v>
      </c>
      <c r="V41" s="77">
        <v>1.389</v>
      </c>
      <c r="W41" s="76">
        <f>'Школы-средняя'!S41</f>
        <v>1.014</v>
      </c>
      <c r="X41" s="81">
        <f>'Школы-средняя'!T41</f>
        <v>1</v>
      </c>
      <c r="Y41" s="54">
        <f t="shared" si="0"/>
        <v>5167.5</v>
      </c>
      <c r="Z41" s="54">
        <f t="shared" si="1"/>
        <v>49.2</v>
      </c>
      <c r="AA41" s="54">
        <f t="shared" si="2"/>
        <v>0</v>
      </c>
      <c r="AB41" s="54">
        <f t="shared" si="3"/>
        <v>0</v>
      </c>
      <c r="AC41" s="54">
        <f t="shared" si="4"/>
        <v>107.9</v>
      </c>
      <c r="AD41" s="54">
        <f t="shared" si="5"/>
        <v>553.2</v>
      </c>
      <c r="AE41" s="54">
        <f t="shared" si="6"/>
        <v>0</v>
      </c>
      <c r="AF41" s="54">
        <f t="shared" si="7"/>
        <v>0</v>
      </c>
      <c r="AG41" s="54">
        <f t="shared" si="8"/>
        <v>0</v>
      </c>
      <c r="AH41" s="54">
        <f t="shared" si="9"/>
        <v>5877.799999999999</v>
      </c>
      <c r="AI41" s="68"/>
      <c r="AJ41" s="68"/>
    </row>
    <row r="42" spans="1:36" s="41" customFormat="1" ht="22.5" customHeight="1">
      <c r="A42" s="44">
        <v>35</v>
      </c>
      <c r="B42" s="36" t="s">
        <v>32</v>
      </c>
      <c r="C42" s="79">
        <v>5</v>
      </c>
      <c r="D42" s="66">
        <v>98</v>
      </c>
      <c r="E42" s="37">
        <v>1</v>
      </c>
      <c r="F42" s="37"/>
      <c r="G42" s="37">
        <v>1</v>
      </c>
      <c r="H42" s="37">
        <v>4</v>
      </c>
      <c r="I42" s="37"/>
      <c r="J42" s="37"/>
      <c r="K42" s="37">
        <v>1</v>
      </c>
      <c r="L42" s="37"/>
      <c r="M42" s="113">
        <v>34942</v>
      </c>
      <c r="N42" s="113">
        <v>34942</v>
      </c>
      <c r="O42" s="113">
        <v>34942</v>
      </c>
      <c r="P42" s="113">
        <v>38296</v>
      </c>
      <c r="Q42" s="113">
        <v>38296</v>
      </c>
      <c r="R42" s="113">
        <v>392758</v>
      </c>
      <c r="S42" s="113">
        <v>392758</v>
      </c>
      <c r="T42" s="113">
        <v>392758</v>
      </c>
      <c r="U42" s="113">
        <v>392758</v>
      </c>
      <c r="V42" s="77">
        <v>1.202</v>
      </c>
      <c r="W42" s="76">
        <f>'Школы-средняя'!S42</f>
        <v>1.122</v>
      </c>
      <c r="X42" s="81">
        <f>'Школы-средняя'!T42</f>
        <v>1</v>
      </c>
      <c r="Y42" s="54">
        <f t="shared" si="0"/>
        <v>4618.2</v>
      </c>
      <c r="Z42" s="54">
        <f t="shared" si="1"/>
        <v>47.1</v>
      </c>
      <c r="AA42" s="54">
        <f t="shared" si="2"/>
        <v>0</v>
      </c>
      <c r="AB42" s="54">
        <f t="shared" si="3"/>
        <v>51.6</v>
      </c>
      <c r="AC42" s="54">
        <f t="shared" si="4"/>
        <v>206.6</v>
      </c>
      <c r="AD42" s="54">
        <f t="shared" si="5"/>
        <v>0</v>
      </c>
      <c r="AE42" s="54">
        <f t="shared" si="6"/>
        <v>0</v>
      </c>
      <c r="AF42" s="54">
        <f t="shared" si="7"/>
        <v>529.7</v>
      </c>
      <c r="AG42" s="54">
        <f t="shared" si="8"/>
        <v>0</v>
      </c>
      <c r="AH42" s="54">
        <f t="shared" si="9"/>
        <v>5453.200000000001</v>
      </c>
      <c r="AI42" s="68"/>
      <c r="AJ42" s="68"/>
    </row>
    <row r="43" spans="1:36" s="41" customFormat="1" ht="21.75" customHeight="1">
      <c r="A43" s="35">
        <v>36</v>
      </c>
      <c r="B43" s="36" t="s">
        <v>33</v>
      </c>
      <c r="C43" s="79">
        <v>5</v>
      </c>
      <c r="D43" s="66">
        <v>88</v>
      </c>
      <c r="E43" s="37"/>
      <c r="F43" s="37"/>
      <c r="G43" s="66"/>
      <c r="H43" s="66">
        <v>7</v>
      </c>
      <c r="I43" s="37"/>
      <c r="J43" s="37"/>
      <c r="K43" s="66"/>
      <c r="L43" s="37">
        <v>1</v>
      </c>
      <c r="M43" s="113">
        <v>34942</v>
      </c>
      <c r="N43" s="113">
        <v>34942</v>
      </c>
      <c r="O43" s="113">
        <v>34942</v>
      </c>
      <c r="P43" s="113">
        <v>38296</v>
      </c>
      <c r="Q43" s="113">
        <v>38296</v>
      </c>
      <c r="R43" s="113">
        <v>392758</v>
      </c>
      <c r="S43" s="113">
        <v>392758</v>
      </c>
      <c r="T43" s="113">
        <v>392758</v>
      </c>
      <c r="U43" s="113">
        <v>392758</v>
      </c>
      <c r="V43" s="77">
        <v>1.316</v>
      </c>
      <c r="W43" s="76">
        <f>'Школы-средняя'!S43</f>
        <v>1</v>
      </c>
      <c r="X43" s="81">
        <f>'Школы-средняя'!T43</f>
        <v>0.923</v>
      </c>
      <c r="Y43" s="54">
        <f t="shared" si="0"/>
        <v>3735</v>
      </c>
      <c r="Z43" s="54">
        <f t="shared" si="1"/>
        <v>0</v>
      </c>
      <c r="AA43" s="54">
        <f t="shared" si="2"/>
        <v>0</v>
      </c>
      <c r="AB43" s="54">
        <f t="shared" si="3"/>
        <v>0</v>
      </c>
      <c r="AC43" s="54">
        <f t="shared" si="4"/>
        <v>325.6</v>
      </c>
      <c r="AD43" s="54">
        <f t="shared" si="5"/>
        <v>0</v>
      </c>
      <c r="AE43" s="54">
        <f t="shared" si="6"/>
        <v>0</v>
      </c>
      <c r="AF43" s="54">
        <f t="shared" si="7"/>
        <v>0</v>
      </c>
      <c r="AG43" s="54">
        <f t="shared" si="8"/>
        <v>477.1</v>
      </c>
      <c r="AH43" s="54">
        <f t="shared" si="9"/>
        <v>4537.7</v>
      </c>
      <c r="AI43" s="68"/>
      <c r="AJ43" s="68"/>
    </row>
    <row r="44" spans="1:36" s="41" customFormat="1" ht="21" customHeight="1">
      <c r="A44" s="44">
        <v>37</v>
      </c>
      <c r="B44" s="36" t="s">
        <v>34</v>
      </c>
      <c r="C44" s="79">
        <v>6</v>
      </c>
      <c r="D44" s="66">
        <v>51</v>
      </c>
      <c r="E44" s="37"/>
      <c r="F44" s="37"/>
      <c r="G44" s="66"/>
      <c r="H44" s="66"/>
      <c r="I44" s="37"/>
      <c r="J44" s="37"/>
      <c r="K44" s="66"/>
      <c r="L44" s="37"/>
      <c r="M44" s="113">
        <v>38236</v>
      </c>
      <c r="N44" s="113">
        <v>38236</v>
      </c>
      <c r="O44" s="113">
        <v>38236</v>
      </c>
      <c r="P44" s="113">
        <v>42418</v>
      </c>
      <c r="Q44" s="113">
        <v>42418</v>
      </c>
      <c r="R44" s="113">
        <v>392758</v>
      </c>
      <c r="S44" s="113">
        <v>392758</v>
      </c>
      <c r="T44" s="113">
        <v>392758</v>
      </c>
      <c r="U44" s="113">
        <v>392758</v>
      </c>
      <c r="V44" s="77">
        <v>2.451</v>
      </c>
      <c r="W44" s="76">
        <f>'Школы-средняя'!S44</f>
        <v>1</v>
      </c>
      <c r="X44" s="81">
        <f>'Школы-средняя'!T44</f>
        <v>0.831</v>
      </c>
      <c r="Y44" s="54">
        <f>ROUND(D44*M44*V44*X44*W44/1000,1)+1.1</f>
        <v>3972.9</v>
      </c>
      <c r="Z44" s="54">
        <f t="shared" si="1"/>
        <v>0</v>
      </c>
      <c r="AA44" s="54">
        <f t="shared" si="2"/>
        <v>0</v>
      </c>
      <c r="AB44" s="54">
        <f t="shared" si="3"/>
        <v>0</v>
      </c>
      <c r="AC44" s="54">
        <f t="shared" si="4"/>
        <v>0</v>
      </c>
      <c r="AD44" s="54">
        <f t="shared" si="5"/>
        <v>0</v>
      </c>
      <c r="AE44" s="54">
        <f t="shared" si="6"/>
        <v>0</v>
      </c>
      <c r="AF44" s="54">
        <f t="shared" si="7"/>
        <v>0</v>
      </c>
      <c r="AG44" s="54">
        <f t="shared" si="8"/>
        <v>0</v>
      </c>
      <c r="AH44" s="54">
        <f t="shared" si="9"/>
        <v>3972.9</v>
      </c>
      <c r="AI44" s="68"/>
      <c r="AJ44" s="68"/>
    </row>
    <row r="45" spans="1:36" s="41" customFormat="1" ht="31.5">
      <c r="A45" s="35">
        <v>38</v>
      </c>
      <c r="B45" s="36" t="s">
        <v>35</v>
      </c>
      <c r="C45" s="79">
        <v>5</v>
      </c>
      <c r="D45" s="116">
        <v>23</v>
      </c>
      <c r="E45" s="66"/>
      <c r="F45" s="66"/>
      <c r="G45" s="66"/>
      <c r="H45" s="66"/>
      <c r="I45" s="66"/>
      <c r="J45" s="37"/>
      <c r="K45" s="66"/>
      <c r="L45" s="37"/>
      <c r="M45" s="113">
        <v>34942</v>
      </c>
      <c r="N45" s="113">
        <v>34942</v>
      </c>
      <c r="O45" s="113">
        <v>34942</v>
      </c>
      <c r="P45" s="113">
        <v>38296</v>
      </c>
      <c r="Q45" s="113">
        <v>38296</v>
      </c>
      <c r="R45" s="113">
        <v>392758</v>
      </c>
      <c r="S45" s="113">
        <v>392758</v>
      </c>
      <c r="T45" s="113">
        <v>392758</v>
      </c>
      <c r="U45" s="113">
        <v>392758</v>
      </c>
      <c r="V45" s="77">
        <v>4.348</v>
      </c>
      <c r="W45" s="76">
        <f>'Школы-средняя'!S45</f>
        <v>1</v>
      </c>
      <c r="X45" s="81">
        <f>'Школы-средняя'!T45</f>
        <v>0.954</v>
      </c>
      <c r="Y45" s="54">
        <f>ROUND(D45*M45*V45*X45*W45/1000,1)+2.7</f>
        <v>3336.2999999999997</v>
      </c>
      <c r="Z45" s="54">
        <f t="shared" si="1"/>
        <v>0</v>
      </c>
      <c r="AA45" s="54">
        <f t="shared" si="2"/>
        <v>0</v>
      </c>
      <c r="AB45" s="54">
        <f t="shared" si="3"/>
        <v>0</v>
      </c>
      <c r="AC45" s="54">
        <f t="shared" si="4"/>
        <v>0</v>
      </c>
      <c r="AD45" s="54">
        <f t="shared" si="5"/>
        <v>0</v>
      </c>
      <c r="AE45" s="54">
        <f t="shared" si="6"/>
        <v>0</v>
      </c>
      <c r="AF45" s="54">
        <f t="shared" si="7"/>
        <v>0</v>
      </c>
      <c r="AG45" s="54">
        <f t="shared" si="8"/>
        <v>0</v>
      </c>
      <c r="AH45" s="54">
        <f t="shared" si="9"/>
        <v>3336.2999999999997</v>
      </c>
      <c r="AI45" s="68"/>
      <c r="AJ45" s="68"/>
    </row>
    <row r="46" spans="1:36" s="41" customFormat="1" ht="16.5" thickBot="1">
      <c r="A46" s="44">
        <v>39</v>
      </c>
      <c r="B46" s="49" t="s">
        <v>36</v>
      </c>
      <c r="C46" s="79">
        <v>5</v>
      </c>
      <c r="D46" s="117">
        <v>27</v>
      </c>
      <c r="E46" s="66">
        <v>1</v>
      </c>
      <c r="F46" s="66"/>
      <c r="G46" s="66"/>
      <c r="H46" s="66"/>
      <c r="I46" s="66"/>
      <c r="J46" s="37"/>
      <c r="K46" s="66"/>
      <c r="L46" s="37"/>
      <c r="M46" s="113">
        <v>34942</v>
      </c>
      <c r="N46" s="113">
        <v>34942</v>
      </c>
      <c r="O46" s="113">
        <v>34942</v>
      </c>
      <c r="P46" s="113">
        <v>38296</v>
      </c>
      <c r="Q46" s="113">
        <v>38296</v>
      </c>
      <c r="R46" s="113">
        <v>392758</v>
      </c>
      <c r="S46" s="113">
        <v>392758</v>
      </c>
      <c r="T46" s="113">
        <v>392758</v>
      </c>
      <c r="U46" s="113">
        <v>392758</v>
      </c>
      <c r="V46" s="77">
        <v>4.464</v>
      </c>
      <c r="W46" s="76">
        <f>'Школы-средняя'!S46</f>
        <v>1</v>
      </c>
      <c r="X46" s="81">
        <f>'Школы-средняя'!T46</f>
        <v>0.85</v>
      </c>
      <c r="Y46" s="54">
        <f>ROUND(D46*M46*V46*X46*W46/1000,1)-1</f>
        <v>3578.8</v>
      </c>
      <c r="Z46" s="54">
        <f t="shared" si="1"/>
        <v>132.6</v>
      </c>
      <c r="AA46" s="54">
        <f t="shared" si="2"/>
        <v>0</v>
      </c>
      <c r="AB46" s="54">
        <f t="shared" si="3"/>
        <v>0</v>
      </c>
      <c r="AC46" s="54">
        <f t="shared" si="4"/>
        <v>0</v>
      </c>
      <c r="AD46" s="54">
        <f t="shared" si="5"/>
        <v>0</v>
      </c>
      <c r="AE46" s="54">
        <f t="shared" si="6"/>
        <v>0</v>
      </c>
      <c r="AF46" s="54">
        <f t="shared" si="7"/>
        <v>0</v>
      </c>
      <c r="AG46" s="54">
        <f t="shared" si="8"/>
        <v>0</v>
      </c>
      <c r="AH46" s="54">
        <f t="shared" si="9"/>
        <v>3711.4</v>
      </c>
      <c r="AI46" s="68"/>
      <c r="AJ46" s="68"/>
    </row>
    <row r="47" spans="1:36" s="41" customFormat="1" ht="48" thickBot="1">
      <c r="A47" s="50"/>
      <c r="B47" s="80" t="s">
        <v>77</v>
      </c>
      <c r="C47" s="51"/>
      <c r="D47" s="52">
        <f>SUM(D8:D46)</f>
        <v>4372</v>
      </c>
      <c r="E47" s="52">
        <f aca="true" t="shared" si="10" ref="E47:L47">SUM(E8:E46)</f>
        <v>30</v>
      </c>
      <c r="F47" s="52">
        <f t="shared" si="10"/>
        <v>11</v>
      </c>
      <c r="G47" s="52">
        <f t="shared" si="10"/>
        <v>3</v>
      </c>
      <c r="H47" s="52">
        <f t="shared" si="10"/>
        <v>51</v>
      </c>
      <c r="I47" s="52">
        <f t="shared" si="10"/>
        <v>10</v>
      </c>
      <c r="J47" s="52">
        <f t="shared" si="10"/>
        <v>8</v>
      </c>
      <c r="K47" s="52">
        <f t="shared" si="10"/>
        <v>18</v>
      </c>
      <c r="L47" s="52">
        <f t="shared" si="10"/>
        <v>16</v>
      </c>
      <c r="M47" s="52"/>
      <c r="N47" s="52"/>
      <c r="O47" s="52"/>
      <c r="P47" s="52"/>
      <c r="Q47" s="52"/>
      <c r="R47" s="52"/>
      <c r="S47" s="52"/>
      <c r="T47" s="52"/>
      <c r="U47" s="53"/>
      <c r="V47" s="75"/>
      <c r="W47" s="75"/>
      <c r="X47" s="75"/>
      <c r="Y47" s="54">
        <f>SUM(Y8:Y46)</f>
        <v>207217.69999999995</v>
      </c>
      <c r="Z47" s="54">
        <f aca="true" t="shared" si="11" ref="Z47:AH47">SUM(Z8:Z46)</f>
        <v>1606.5</v>
      </c>
      <c r="AA47" s="54">
        <f t="shared" si="11"/>
        <v>570.1</v>
      </c>
      <c r="AB47" s="54">
        <f t="shared" si="11"/>
        <v>251.4</v>
      </c>
      <c r="AC47" s="54">
        <f t="shared" si="11"/>
        <v>3074.0999999999995</v>
      </c>
      <c r="AD47" s="54">
        <f t="shared" si="11"/>
        <v>4027.6000000000004</v>
      </c>
      <c r="AE47" s="54">
        <f t="shared" si="11"/>
        <v>3387.5</v>
      </c>
      <c r="AF47" s="54">
        <f t="shared" si="11"/>
        <v>9952.9</v>
      </c>
      <c r="AG47" s="54">
        <f t="shared" si="11"/>
        <v>6359.799999999999</v>
      </c>
      <c r="AH47" s="54">
        <f t="shared" si="11"/>
        <v>236447.59999999995</v>
      </c>
      <c r="AI47" s="72"/>
      <c r="AJ47" s="72"/>
    </row>
    <row r="48" spans="1:36" s="6" customFormat="1" ht="18" customHeight="1">
      <c r="A48" s="9"/>
      <c r="B48" s="10"/>
      <c r="C48" s="10"/>
      <c r="D48" s="10">
        <f>SUM(D47:L47)</f>
        <v>4519</v>
      </c>
      <c r="E48" s="10"/>
      <c r="F48" s="10"/>
      <c r="G48" s="10"/>
      <c r="H48" s="10"/>
      <c r="I48" s="10"/>
      <c r="J48" s="10"/>
      <c r="K48" s="10"/>
      <c r="L48" s="10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AH48" s="55">
        <f>SUM(Y47:AG47)</f>
        <v>236447.59999999995</v>
      </c>
      <c r="AI48" s="67"/>
      <c r="AJ48" s="67"/>
    </row>
    <row r="49" spans="1:36" s="6" customFormat="1" ht="15.75">
      <c r="A49" s="12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AI49" s="67"/>
      <c r="AJ49" s="67"/>
    </row>
    <row r="50" spans="1:36" s="6" customFormat="1" ht="15.75">
      <c r="A50" s="12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AH50" s="61">
        <v>228734.4</v>
      </c>
      <c r="AI50" s="67"/>
      <c r="AJ50" s="67"/>
    </row>
    <row r="51" spans="1:36" s="6" customFormat="1" ht="15.75">
      <c r="A51" s="12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AI51" s="67"/>
      <c r="AJ51" s="67"/>
    </row>
    <row r="52" spans="1:36" s="6" customFormat="1" ht="15.75">
      <c r="A52" s="12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AI52" s="67"/>
      <c r="AJ52" s="67"/>
    </row>
    <row r="53" spans="1:36" s="6" customFormat="1" ht="15.75">
      <c r="A53" s="12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AI53" s="67"/>
      <c r="AJ53" s="67"/>
    </row>
    <row r="54" spans="1:36" s="6" customFormat="1" ht="15.75">
      <c r="A54" s="12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AI54" s="67"/>
      <c r="AJ54" s="67"/>
    </row>
    <row r="55" spans="1:36" s="6" customFormat="1" ht="16.5" customHeight="1">
      <c r="A55" s="12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AI55" s="67"/>
      <c r="AJ55" s="67"/>
    </row>
    <row r="56" spans="1:36" s="6" customFormat="1" ht="15.75">
      <c r="A56" s="12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AI56" s="67"/>
      <c r="AJ56" s="67"/>
    </row>
    <row r="57" spans="1:36" s="6" customFormat="1" ht="15.75">
      <c r="A57" s="12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AI57" s="67"/>
      <c r="AJ57" s="67"/>
    </row>
    <row r="58" spans="1:36" s="6" customFormat="1" ht="15.75">
      <c r="A58" s="12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AI58" s="67"/>
      <c r="AJ58" s="67"/>
    </row>
    <row r="59" spans="1:36" s="6" customFormat="1" ht="15.75">
      <c r="A59" s="12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AI59" s="67"/>
      <c r="AJ59" s="67"/>
    </row>
    <row r="60" spans="1:36" s="6" customFormat="1" ht="15.75">
      <c r="A60" s="12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AI60" s="67"/>
      <c r="AJ60" s="67"/>
    </row>
    <row r="61" spans="1:36" s="6" customFormat="1" ht="15.75">
      <c r="A61" s="12"/>
      <c r="B61" s="16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AI61" s="67"/>
      <c r="AJ61" s="67"/>
    </row>
    <row r="62" spans="1:36" s="18" customFormat="1" ht="16.5" customHeigh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AI62" s="69"/>
      <c r="AJ62" s="69"/>
    </row>
    <row r="63" spans="1:24" ht="15.75">
      <c r="A63" s="12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5.75">
      <c r="A64" s="12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5.75">
      <c r="A65" s="12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5.75">
      <c r="A66" s="12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8" customHeight="1">
      <c r="A67" s="12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5.75">
      <c r="A68" s="12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5.75">
      <c r="A69" s="12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5.75">
      <c r="A70" s="12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5.75">
      <c r="A71" s="12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5.75">
      <c r="A72" s="12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5.75">
      <c r="A73" s="12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5.75">
      <c r="A74" s="12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5.75">
      <c r="A75" s="12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5.75">
      <c r="A76" s="12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5.75">
      <c r="A77" s="12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5.75">
      <c r="A78" s="12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5.75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5.75">
      <c r="A80" s="12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5.75">
      <c r="A81" s="12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5.75">
      <c r="A82" s="12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5.75">
      <c r="A83" s="12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5.75">
      <c r="A84" s="12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5.75">
      <c r="A85" s="12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5.75">
      <c r="A86" s="12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5.75">
      <c r="A87" s="12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5.75">
      <c r="A88" s="12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5.75">
      <c r="A89" s="12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5.75">
      <c r="A90" s="12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5.75">
      <c r="A91" s="12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5.75">
      <c r="A92" s="12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5.75">
      <c r="A93" s="12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5.75">
      <c r="A94" s="12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5.75">
      <c r="A95" s="12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5.75">
      <c r="A96" s="12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5.75">
      <c r="A97" s="12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5.75">
      <c r="A98" s="12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5.75">
      <c r="A99" s="12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5.75">
      <c r="A100" s="12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5.75">
      <c r="A101" s="12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5.75">
      <c r="A102" s="12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5.75">
      <c r="A103" s="12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5.75">
      <c r="A104" s="12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5.75">
      <c r="A105" s="12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5.75">
      <c r="A106" s="12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5.75">
      <c r="A107" s="20"/>
      <c r="B107" s="21"/>
      <c r="C107" s="21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ht="18.75">
      <c r="A108" s="22"/>
      <c r="B108" s="22"/>
      <c r="C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 ht="15.75">
      <c r="A109" s="20"/>
      <c r="B109" s="20"/>
      <c r="C109" s="20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</sheetData>
  <sheetProtection/>
  <mergeCells count="17">
    <mergeCell ref="V3:V7"/>
    <mergeCell ref="X3:X7"/>
    <mergeCell ref="M3:U4"/>
    <mergeCell ref="AI5:AI7"/>
    <mergeCell ref="AI4:AJ4"/>
    <mergeCell ref="AJ5:AJ7"/>
    <mergeCell ref="Y5:AG5"/>
    <mergeCell ref="AH5:AH7"/>
    <mergeCell ref="Y3:AH4"/>
    <mergeCell ref="A62:L62"/>
    <mergeCell ref="D4:L4"/>
    <mergeCell ref="M5:U5"/>
    <mergeCell ref="A3:A7"/>
    <mergeCell ref="B3:B5"/>
    <mergeCell ref="C3:C7"/>
    <mergeCell ref="B6:B7"/>
    <mergeCell ref="D3:L3"/>
  </mergeCells>
  <printOptions horizontalCentered="1"/>
  <pageMargins left="0" right="0" top="0.1968503937007874" bottom="0" header="0" footer="0"/>
  <pageSetup horizontalDpi="600" verticalDpi="600" orientation="landscape" paperSize="9" scale="40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9"/>
  <sheetViews>
    <sheetView view="pageBreakPreview" zoomScale="69" zoomScaleNormal="74" zoomScaleSheetLayoutView="69" zoomScalePageLayoutView="0" workbookViewId="0" topLeftCell="A1">
      <pane xSplit="3" ySplit="7" topLeftCell="T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1" sqref="N1"/>
    </sheetView>
  </sheetViews>
  <sheetFormatPr defaultColWidth="9.140625" defaultRowHeight="12.75"/>
  <cols>
    <col min="1" max="1" width="9.00390625" style="4" customWidth="1"/>
    <col min="2" max="2" width="24.00390625" style="4" customWidth="1"/>
    <col min="3" max="3" width="13.00390625" style="4" customWidth="1"/>
    <col min="4" max="4" width="22.28125" style="5" customWidth="1"/>
    <col min="5" max="5" width="24.140625" style="5" customWidth="1"/>
    <col min="6" max="7" width="17.7109375" style="5" customWidth="1"/>
    <col min="8" max="8" width="19.421875" style="5" customWidth="1"/>
    <col min="9" max="10" width="18.28125" style="5" customWidth="1"/>
    <col min="11" max="20" width="29.7109375" style="5" customWidth="1"/>
    <col min="21" max="21" width="17.57421875" style="19" customWidth="1"/>
    <col min="22" max="23" width="18.00390625" style="19" customWidth="1"/>
    <col min="24" max="24" width="14.140625" style="19" customWidth="1"/>
    <col min="25" max="25" width="14.57421875" style="19" customWidth="1"/>
    <col min="26" max="26" width="12.421875" style="19" customWidth="1"/>
    <col min="27" max="27" width="13.7109375" style="19" customWidth="1"/>
    <col min="28" max="28" width="15.00390625" style="19" customWidth="1"/>
    <col min="29" max="29" width="16.140625" style="70" customWidth="1"/>
    <col min="30" max="30" width="23.57421875" style="70" customWidth="1"/>
    <col min="31" max="16384" width="9.140625" style="19" customWidth="1"/>
  </cols>
  <sheetData>
    <row r="1" spans="1:30" s="6" customFormat="1" ht="18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 t="s">
        <v>89</v>
      </c>
      <c r="O1" s="118"/>
      <c r="P1" s="118"/>
      <c r="Q1" s="118"/>
      <c r="R1" s="106"/>
      <c r="S1" s="106"/>
      <c r="T1" s="106"/>
      <c r="AC1" s="67"/>
      <c r="AD1" s="67"/>
    </row>
    <row r="2" spans="1:30" s="6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C2" s="67"/>
      <c r="AD2" s="67"/>
    </row>
    <row r="3" spans="1:30" s="83" customFormat="1" ht="38.25" customHeight="1">
      <c r="A3" s="152" t="s">
        <v>81</v>
      </c>
      <c r="B3" s="143" t="s">
        <v>74</v>
      </c>
      <c r="C3" s="143" t="s">
        <v>75</v>
      </c>
      <c r="D3" s="146" t="s">
        <v>76</v>
      </c>
      <c r="E3" s="147"/>
      <c r="F3" s="147"/>
      <c r="G3" s="147"/>
      <c r="H3" s="147"/>
      <c r="I3" s="147"/>
      <c r="J3" s="147"/>
      <c r="K3" s="156" t="s">
        <v>70</v>
      </c>
      <c r="L3" s="156"/>
      <c r="M3" s="156"/>
      <c r="N3" s="156"/>
      <c r="O3" s="156"/>
      <c r="P3" s="156"/>
      <c r="Q3" s="156"/>
      <c r="R3" s="156" t="s">
        <v>78</v>
      </c>
      <c r="S3" s="104"/>
      <c r="T3" s="156" t="s">
        <v>79</v>
      </c>
      <c r="U3" s="158" t="s">
        <v>80</v>
      </c>
      <c r="V3" s="159"/>
      <c r="W3" s="159"/>
      <c r="X3" s="159"/>
      <c r="Y3" s="159"/>
      <c r="Z3" s="159"/>
      <c r="AA3" s="159"/>
      <c r="AB3" s="160"/>
      <c r="AC3" s="82"/>
      <c r="AD3" s="82"/>
    </row>
    <row r="4" spans="1:30" s="83" customFormat="1" ht="47.25" customHeight="1">
      <c r="A4" s="153"/>
      <c r="B4" s="144"/>
      <c r="C4" s="144"/>
      <c r="D4" s="146" t="s">
        <v>40</v>
      </c>
      <c r="E4" s="147"/>
      <c r="F4" s="147"/>
      <c r="G4" s="147"/>
      <c r="H4" s="147"/>
      <c r="I4" s="147"/>
      <c r="J4" s="147"/>
      <c r="K4" s="156"/>
      <c r="L4" s="156"/>
      <c r="M4" s="156"/>
      <c r="N4" s="156"/>
      <c r="O4" s="156"/>
      <c r="P4" s="156"/>
      <c r="Q4" s="156"/>
      <c r="R4" s="156"/>
      <c r="S4" s="104"/>
      <c r="T4" s="156"/>
      <c r="U4" s="161"/>
      <c r="V4" s="162"/>
      <c r="W4" s="162"/>
      <c r="X4" s="162"/>
      <c r="Y4" s="162"/>
      <c r="Z4" s="162"/>
      <c r="AA4" s="162"/>
      <c r="AB4" s="163"/>
      <c r="AC4" s="155"/>
      <c r="AD4" s="155"/>
    </row>
    <row r="5" spans="1:30" s="83" customFormat="1" ht="65.25" customHeight="1">
      <c r="A5" s="153"/>
      <c r="B5" s="144"/>
      <c r="C5" s="144"/>
      <c r="D5" s="109" t="s">
        <v>53</v>
      </c>
      <c r="E5" s="109" t="s">
        <v>57</v>
      </c>
      <c r="F5" s="109" t="s">
        <v>57</v>
      </c>
      <c r="G5" s="109" t="s">
        <v>53</v>
      </c>
      <c r="H5" s="109" t="s">
        <v>53</v>
      </c>
      <c r="I5" s="109" t="s">
        <v>53</v>
      </c>
      <c r="J5" s="109" t="s">
        <v>41</v>
      </c>
      <c r="K5" s="146" t="s">
        <v>40</v>
      </c>
      <c r="L5" s="147"/>
      <c r="M5" s="147"/>
      <c r="N5" s="147"/>
      <c r="O5" s="147"/>
      <c r="P5" s="147"/>
      <c r="Q5" s="147"/>
      <c r="R5" s="156"/>
      <c r="S5" s="104"/>
      <c r="T5" s="156"/>
      <c r="U5" s="157" t="s">
        <v>40</v>
      </c>
      <c r="V5" s="157"/>
      <c r="W5" s="157"/>
      <c r="X5" s="157"/>
      <c r="Y5" s="157"/>
      <c r="Z5" s="157"/>
      <c r="AA5" s="157"/>
      <c r="AB5" s="142" t="s">
        <v>62</v>
      </c>
      <c r="AC5" s="155"/>
      <c r="AD5" s="155"/>
    </row>
    <row r="6" spans="1:30" s="83" customFormat="1" ht="93" customHeight="1">
      <c r="A6" s="153"/>
      <c r="B6" s="142" t="s">
        <v>73</v>
      </c>
      <c r="C6" s="144"/>
      <c r="D6" s="109" t="s">
        <v>43</v>
      </c>
      <c r="E6" s="109" t="s">
        <v>43</v>
      </c>
      <c r="F6" s="109" t="s">
        <v>42</v>
      </c>
      <c r="G6" s="109" t="s">
        <v>42</v>
      </c>
      <c r="H6" s="109" t="s">
        <v>58</v>
      </c>
      <c r="I6" s="109" t="s">
        <v>56</v>
      </c>
      <c r="J6" s="109" t="s">
        <v>58</v>
      </c>
      <c r="K6" s="109" t="s">
        <v>53</v>
      </c>
      <c r="L6" s="109" t="s">
        <v>63</v>
      </c>
      <c r="M6" s="109" t="s">
        <v>63</v>
      </c>
      <c r="N6" s="109" t="s">
        <v>53</v>
      </c>
      <c r="O6" s="109" t="s">
        <v>53</v>
      </c>
      <c r="P6" s="109" t="s">
        <v>53</v>
      </c>
      <c r="Q6" s="109" t="s">
        <v>41</v>
      </c>
      <c r="R6" s="156"/>
      <c r="S6" s="104"/>
      <c r="T6" s="156"/>
      <c r="U6" s="109" t="s">
        <v>53</v>
      </c>
      <c r="V6" s="109" t="s">
        <v>63</v>
      </c>
      <c r="W6" s="109" t="s">
        <v>57</v>
      </c>
      <c r="X6" s="109" t="s">
        <v>53</v>
      </c>
      <c r="Y6" s="109" t="s">
        <v>53</v>
      </c>
      <c r="Z6" s="109" t="s">
        <v>53</v>
      </c>
      <c r="AA6" s="109" t="s">
        <v>41</v>
      </c>
      <c r="AB6" s="142"/>
      <c r="AC6" s="155"/>
      <c r="AD6" s="155"/>
    </row>
    <row r="7" spans="1:30" s="83" customFormat="1" ht="88.5" customHeight="1">
      <c r="A7" s="154"/>
      <c r="B7" s="142"/>
      <c r="C7" s="149"/>
      <c r="D7" s="105" t="s">
        <v>72</v>
      </c>
      <c r="E7" s="105" t="s">
        <v>72</v>
      </c>
      <c r="F7" s="105" t="s">
        <v>72</v>
      </c>
      <c r="G7" s="105" t="s">
        <v>72</v>
      </c>
      <c r="H7" s="105" t="s">
        <v>72</v>
      </c>
      <c r="I7" s="105" t="s">
        <v>72</v>
      </c>
      <c r="J7" s="105" t="s">
        <v>72</v>
      </c>
      <c r="K7" s="105" t="s">
        <v>43</v>
      </c>
      <c r="L7" s="105" t="s">
        <v>43</v>
      </c>
      <c r="M7" s="109" t="s">
        <v>42</v>
      </c>
      <c r="N7" s="109" t="s">
        <v>42</v>
      </c>
      <c r="O7" s="109" t="s">
        <v>58</v>
      </c>
      <c r="P7" s="109" t="s">
        <v>56</v>
      </c>
      <c r="Q7" s="109" t="s">
        <v>58</v>
      </c>
      <c r="R7" s="156"/>
      <c r="S7" s="104"/>
      <c r="T7" s="156"/>
      <c r="U7" s="105" t="s">
        <v>43</v>
      </c>
      <c r="V7" s="105" t="s">
        <v>43</v>
      </c>
      <c r="W7" s="109" t="s">
        <v>42</v>
      </c>
      <c r="X7" s="109" t="s">
        <v>42</v>
      </c>
      <c r="Y7" s="109" t="s">
        <v>58</v>
      </c>
      <c r="Z7" s="109" t="s">
        <v>56</v>
      </c>
      <c r="AA7" s="109" t="s">
        <v>58</v>
      </c>
      <c r="AB7" s="142"/>
      <c r="AC7" s="155"/>
      <c r="AD7" s="155"/>
    </row>
    <row r="8" spans="1:30" s="41" customFormat="1" ht="15.75">
      <c r="A8" s="44">
        <v>1</v>
      </c>
      <c r="B8" s="45" t="s">
        <v>0</v>
      </c>
      <c r="C8" s="79">
        <v>5</v>
      </c>
      <c r="D8" s="40">
        <v>7</v>
      </c>
      <c r="E8" s="40">
        <v>9</v>
      </c>
      <c r="F8" s="40"/>
      <c r="G8" s="40"/>
      <c r="H8" s="40"/>
      <c r="I8" s="40"/>
      <c r="J8" s="40"/>
      <c r="K8" s="112">
        <v>25044</v>
      </c>
      <c r="L8" s="116">
        <v>27374</v>
      </c>
      <c r="M8" s="116">
        <v>27374</v>
      </c>
      <c r="N8" s="112">
        <v>25044</v>
      </c>
      <c r="O8" s="112">
        <v>360263</v>
      </c>
      <c r="P8" s="112">
        <v>360263</v>
      </c>
      <c r="Q8" s="112">
        <v>360263</v>
      </c>
      <c r="R8" s="76">
        <v>3.125</v>
      </c>
      <c r="S8" s="76">
        <v>1</v>
      </c>
      <c r="T8" s="81">
        <v>0.947</v>
      </c>
      <c r="U8" s="54">
        <f>ROUND(K8*D8*R8*T8/1000*S8,1)+0.8</f>
        <v>519.5999999999999</v>
      </c>
      <c r="V8" s="54">
        <f>ROUND(K8*E8*R8*T8/1000*S8,1)</f>
        <v>667</v>
      </c>
      <c r="W8" s="54">
        <f>ROUND(M8*F8*R8*T8/1000*S8,1)</f>
        <v>0</v>
      </c>
      <c r="X8" s="54">
        <f>ROUND(N8*G8*R8*T8/1000*S8,1)</f>
        <v>0</v>
      </c>
      <c r="Y8" s="54">
        <f>ROUND(O8*H8*T8*R8/1000*S8,1)</f>
        <v>0</v>
      </c>
      <c r="Z8" s="54">
        <f>ROUND(P8*I8*T8*R8/1000*S8,1)</f>
        <v>0</v>
      </c>
      <c r="AA8" s="54">
        <f>ROUND(Q8*J8*T8*R8/1000*S8,1)</f>
        <v>0</v>
      </c>
      <c r="AB8" s="54">
        <f aca="true" t="shared" si="0" ref="AB8:AB46">SUM(U8:AA8)</f>
        <v>1186.6</v>
      </c>
      <c r="AC8" s="68"/>
      <c r="AD8" s="68"/>
    </row>
    <row r="9" spans="1:30" s="41" customFormat="1" ht="15.75">
      <c r="A9" s="35">
        <v>2</v>
      </c>
      <c r="B9" s="45" t="s">
        <v>60</v>
      </c>
      <c r="C9" s="79">
        <v>6</v>
      </c>
      <c r="D9" s="37">
        <v>41</v>
      </c>
      <c r="E9" s="37">
        <v>38</v>
      </c>
      <c r="F9" s="37">
        <v>1</v>
      </c>
      <c r="G9" s="37"/>
      <c r="H9" s="37"/>
      <c r="I9" s="37">
        <v>1</v>
      </c>
      <c r="J9" s="37"/>
      <c r="K9" s="112">
        <v>27297</v>
      </c>
      <c r="L9" s="116">
        <v>30471</v>
      </c>
      <c r="M9" s="116">
        <v>30471</v>
      </c>
      <c r="N9" s="112">
        <v>27297</v>
      </c>
      <c r="O9" s="112">
        <v>360263</v>
      </c>
      <c r="P9" s="112">
        <v>360263</v>
      </c>
      <c r="Q9" s="112">
        <v>360263</v>
      </c>
      <c r="R9" s="76">
        <v>1.25</v>
      </c>
      <c r="S9" s="76">
        <v>1.015</v>
      </c>
      <c r="T9" s="81">
        <v>1</v>
      </c>
      <c r="U9" s="54">
        <f>ROUND(K9*D9*R9*T9/1000*S9,1)+4.4</f>
        <v>1424.4</v>
      </c>
      <c r="V9" s="54">
        <f aca="true" t="shared" si="1" ref="V9:V46">ROUND(K9*E9*R9*T9/1000*S9,1)</f>
        <v>1316.1</v>
      </c>
      <c r="W9" s="54">
        <f aca="true" t="shared" si="2" ref="W9:W46">ROUND(M9*F9*R9*T9/1000*S9,1)</f>
        <v>38.7</v>
      </c>
      <c r="X9" s="54">
        <f aca="true" t="shared" si="3" ref="X9:X46">ROUND(N9*G9*R9*T9/1000*S9,1)</f>
        <v>0</v>
      </c>
      <c r="Y9" s="54">
        <f aca="true" t="shared" si="4" ref="Y9:Y46">ROUND(O9*H9*T9*R9/1000*S9,1)</f>
        <v>0</v>
      </c>
      <c r="Z9" s="54">
        <f aca="true" t="shared" si="5" ref="Z9:Z46">ROUND(P9*I9*T9*R9/1000*S9,1)</f>
        <v>457.1</v>
      </c>
      <c r="AA9" s="54">
        <f aca="true" t="shared" si="6" ref="AA9:AA46">ROUND(Q9*J9*T9*R9/1000*S9,1)</f>
        <v>0</v>
      </c>
      <c r="AB9" s="54">
        <f t="shared" si="0"/>
        <v>3236.2999999999997</v>
      </c>
      <c r="AC9" s="68"/>
      <c r="AD9" s="68"/>
    </row>
    <row r="10" spans="1:30" s="41" customFormat="1" ht="15.75">
      <c r="A10" s="35">
        <v>3</v>
      </c>
      <c r="B10" s="45" t="s">
        <v>1</v>
      </c>
      <c r="C10" s="79">
        <v>6</v>
      </c>
      <c r="D10" s="37">
        <v>36</v>
      </c>
      <c r="E10" s="37"/>
      <c r="F10" s="37"/>
      <c r="G10" s="37"/>
      <c r="H10" s="37"/>
      <c r="I10" s="37"/>
      <c r="J10" s="37"/>
      <c r="K10" s="112">
        <v>27297</v>
      </c>
      <c r="L10" s="116">
        <v>30471</v>
      </c>
      <c r="M10" s="116">
        <v>30471</v>
      </c>
      <c r="N10" s="112">
        <v>27297</v>
      </c>
      <c r="O10" s="112">
        <v>360263</v>
      </c>
      <c r="P10" s="112">
        <v>360263</v>
      </c>
      <c r="Q10" s="112">
        <v>360263</v>
      </c>
      <c r="R10" s="76">
        <v>1.389</v>
      </c>
      <c r="S10" s="76">
        <v>1</v>
      </c>
      <c r="T10" s="81">
        <v>0.838</v>
      </c>
      <c r="U10" s="54">
        <f>ROUND(K10*D10*R10*T10/1000*S10,1)+0.8</f>
        <v>1144.6</v>
      </c>
      <c r="V10" s="54">
        <f t="shared" si="1"/>
        <v>0</v>
      </c>
      <c r="W10" s="54">
        <f t="shared" si="2"/>
        <v>0</v>
      </c>
      <c r="X10" s="54">
        <f t="shared" si="3"/>
        <v>0</v>
      </c>
      <c r="Y10" s="54">
        <f t="shared" si="4"/>
        <v>0</v>
      </c>
      <c r="Z10" s="54">
        <f t="shared" si="5"/>
        <v>0</v>
      </c>
      <c r="AA10" s="54">
        <f t="shared" si="6"/>
        <v>0</v>
      </c>
      <c r="AB10" s="54">
        <f t="shared" si="0"/>
        <v>1144.6</v>
      </c>
      <c r="AC10" s="68"/>
      <c r="AD10" s="68"/>
    </row>
    <row r="11" spans="1:30" s="41" customFormat="1" ht="15.75">
      <c r="A11" s="44">
        <v>4</v>
      </c>
      <c r="B11" s="45" t="s">
        <v>2</v>
      </c>
      <c r="C11" s="79">
        <v>5</v>
      </c>
      <c r="D11" s="71">
        <v>23</v>
      </c>
      <c r="E11" s="71"/>
      <c r="F11" s="71"/>
      <c r="G11" s="71"/>
      <c r="H11" s="71"/>
      <c r="I11" s="71"/>
      <c r="J11" s="71"/>
      <c r="K11" s="112">
        <v>25044</v>
      </c>
      <c r="L11" s="116">
        <v>27374</v>
      </c>
      <c r="M11" s="116">
        <v>27374</v>
      </c>
      <c r="N11" s="112">
        <v>25044</v>
      </c>
      <c r="O11" s="112">
        <v>360263</v>
      </c>
      <c r="P11" s="112">
        <v>360263</v>
      </c>
      <c r="Q11" s="112">
        <v>360263</v>
      </c>
      <c r="R11" s="76">
        <v>2.174</v>
      </c>
      <c r="S11" s="76">
        <v>1</v>
      </c>
      <c r="T11" s="81">
        <v>0.802</v>
      </c>
      <c r="U11" s="54">
        <f>ROUND(K11*D11*R11*T11/1000*S11,1)-2.7</f>
        <v>1001.5999999999999</v>
      </c>
      <c r="V11" s="54">
        <f t="shared" si="1"/>
        <v>0</v>
      </c>
      <c r="W11" s="54">
        <f t="shared" si="2"/>
        <v>0</v>
      </c>
      <c r="X11" s="54">
        <f t="shared" si="3"/>
        <v>0</v>
      </c>
      <c r="Y11" s="54">
        <f t="shared" si="4"/>
        <v>0</v>
      </c>
      <c r="Z11" s="54">
        <f t="shared" si="5"/>
        <v>0</v>
      </c>
      <c r="AA11" s="54">
        <f t="shared" si="6"/>
        <v>0</v>
      </c>
      <c r="AB11" s="54">
        <f t="shared" si="0"/>
        <v>1001.5999999999999</v>
      </c>
      <c r="AC11" s="68"/>
      <c r="AD11" s="68"/>
    </row>
    <row r="12" spans="1:30" s="41" customFormat="1" ht="15.75">
      <c r="A12" s="35">
        <v>5</v>
      </c>
      <c r="B12" s="45" t="s">
        <v>59</v>
      </c>
      <c r="C12" s="79">
        <v>5</v>
      </c>
      <c r="D12" s="37"/>
      <c r="E12" s="37"/>
      <c r="F12" s="37"/>
      <c r="G12" s="37"/>
      <c r="H12" s="37"/>
      <c r="I12" s="37"/>
      <c r="J12" s="37"/>
      <c r="K12" s="112">
        <v>25044</v>
      </c>
      <c r="L12" s="116">
        <v>27374</v>
      </c>
      <c r="M12" s="116">
        <v>27374</v>
      </c>
      <c r="N12" s="112">
        <v>25044</v>
      </c>
      <c r="O12" s="112">
        <v>360263</v>
      </c>
      <c r="P12" s="112">
        <v>360263</v>
      </c>
      <c r="Q12" s="112">
        <v>360263</v>
      </c>
      <c r="R12" s="76"/>
      <c r="S12" s="76">
        <v>1.007</v>
      </c>
      <c r="T12" s="81">
        <v>1</v>
      </c>
      <c r="U12" s="54">
        <f aca="true" t="shared" si="7" ref="U12:U46">ROUND(K12*D12*R12*T12/1000*S12,1)</f>
        <v>0</v>
      </c>
      <c r="V12" s="54">
        <f t="shared" si="1"/>
        <v>0</v>
      </c>
      <c r="W12" s="54">
        <f t="shared" si="2"/>
        <v>0</v>
      </c>
      <c r="X12" s="54">
        <f t="shared" si="3"/>
        <v>0</v>
      </c>
      <c r="Y12" s="54">
        <f t="shared" si="4"/>
        <v>0</v>
      </c>
      <c r="Z12" s="54">
        <f t="shared" si="5"/>
        <v>0</v>
      </c>
      <c r="AA12" s="54">
        <f t="shared" si="6"/>
        <v>0</v>
      </c>
      <c r="AB12" s="54">
        <f t="shared" si="0"/>
        <v>0</v>
      </c>
      <c r="AC12" s="68"/>
      <c r="AD12" s="68"/>
    </row>
    <row r="13" spans="1:30" s="41" customFormat="1" ht="15.75">
      <c r="A13" s="35">
        <v>6</v>
      </c>
      <c r="B13" s="45" t="s">
        <v>3</v>
      </c>
      <c r="C13" s="79">
        <v>5</v>
      </c>
      <c r="D13" s="37">
        <v>36</v>
      </c>
      <c r="E13" s="37"/>
      <c r="F13" s="37"/>
      <c r="G13" s="37"/>
      <c r="H13" s="37">
        <v>1</v>
      </c>
      <c r="I13" s="37">
        <v>1</v>
      </c>
      <c r="J13" s="37">
        <v>1</v>
      </c>
      <c r="K13" s="112">
        <v>25044</v>
      </c>
      <c r="L13" s="116">
        <v>27374</v>
      </c>
      <c r="M13" s="116">
        <v>27374</v>
      </c>
      <c r="N13" s="112">
        <v>25044</v>
      </c>
      <c r="O13" s="112">
        <v>360263</v>
      </c>
      <c r="P13" s="112">
        <v>360263</v>
      </c>
      <c r="Q13" s="112">
        <v>360263</v>
      </c>
      <c r="R13" s="76">
        <v>1.389</v>
      </c>
      <c r="S13" s="76">
        <v>1.038</v>
      </c>
      <c r="T13" s="81">
        <v>1</v>
      </c>
      <c r="U13" s="54">
        <f>ROUND(K13*D13*R13*T13/1000*S13,1)-1.7</f>
        <v>1298.2</v>
      </c>
      <c r="V13" s="54">
        <f t="shared" si="1"/>
        <v>0</v>
      </c>
      <c r="W13" s="54">
        <f t="shared" si="2"/>
        <v>0</v>
      </c>
      <c r="X13" s="54">
        <f t="shared" si="3"/>
        <v>0</v>
      </c>
      <c r="Y13" s="54">
        <f t="shared" si="4"/>
        <v>519.4</v>
      </c>
      <c r="Z13" s="54">
        <f t="shared" si="5"/>
        <v>519.4</v>
      </c>
      <c r="AA13" s="54">
        <f t="shared" si="6"/>
        <v>519.4</v>
      </c>
      <c r="AB13" s="54">
        <f t="shared" si="0"/>
        <v>2856.4</v>
      </c>
      <c r="AC13" s="68"/>
      <c r="AD13" s="68"/>
    </row>
    <row r="14" spans="1:30" s="41" customFormat="1" ht="15.75" customHeight="1">
      <c r="A14" s="44">
        <v>7</v>
      </c>
      <c r="B14" s="45" t="s">
        <v>4</v>
      </c>
      <c r="C14" s="79">
        <v>5</v>
      </c>
      <c r="D14" s="37">
        <v>44</v>
      </c>
      <c r="E14" s="37">
        <v>38</v>
      </c>
      <c r="F14" s="37"/>
      <c r="G14" s="37"/>
      <c r="H14" s="37"/>
      <c r="I14" s="37"/>
      <c r="J14" s="37"/>
      <c r="K14" s="112">
        <v>25044</v>
      </c>
      <c r="L14" s="116">
        <v>27374</v>
      </c>
      <c r="M14" s="116">
        <v>27374</v>
      </c>
      <c r="N14" s="112">
        <v>25044</v>
      </c>
      <c r="O14" s="112">
        <v>360263</v>
      </c>
      <c r="P14" s="112">
        <v>360263</v>
      </c>
      <c r="Q14" s="112">
        <v>360263</v>
      </c>
      <c r="R14" s="76">
        <v>1.22</v>
      </c>
      <c r="S14" s="76">
        <v>1</v>
      </c>
      <c r="T14" s="81">
        <v>0.97</v>
      </c>
      <c r="U14" s="54">
        <f>ROUND(K14*D14*R14*T14/1000*S14,1)-3.9</f>
        <v>1300.1</v>
      </c>
      <c r="V14" s="54">
        <f t="shared" si="1"/>
        <v>1126.2</v>
      </c>
      <c r="W14" s="54">
        <f t="shared" si="2"/>
        <v>0</v>
      </c>
      <c r="X14" s="54">
        <f t="shared" si="3"/>
        <v>0</v>
      </c>
      <c r="Y14" s="54">
        <f t="shared" si="4"/>
        <v>0</v>
      </c>
      <c r="Z14" s="54">
        <f t="shared" si="5"/>
        <v>0</v>
      </c>
      <c r="AA14" s="54">
        <f t="shared" si="6"/>
        <v>0</v>
      </c>
      <c r="AB14" s="54">
        <f t="shared" si="0"/>
        <v>2426.3</v>
      </c>
      <c r="AC14" s="68"/>
      <c r="AD14" s="68"/>
    </row>
    <row r="15" spans="1:30" s="48" customFormat="1" ht="15.75">
      <c r="A15" s="35">
        <v>8</v>
      </c>
      <c r="B15" s="47" t="s">
        <v>5</v>
      </c>
      <c r="C15" s="79">
        <v>5</v>
      </c>
      <c r="D15" s="37">
        <v>39</v>
      </c>
      <c r="E15" s="37">
        <v>38</v>
      </c>
      <c r="F15" s="37">
        <v>2</v>
      </c>
      <c r="G15" s="37">
        <v>1</v>
      </c>
      <c r="H15" s="37"/>
      <c r="I15" s="37"/>
      <c r="J15" s="37"/>
      <c r="K15" s="112">
        <v>25044</v>
      </c>
      <c r="L15" s="116">
        <v>27374</v>
      </c>
      <c r="M15" s="116">
        <v>27374</v>
      </c>
      <c r="N15" s="112">
        <v>25044</v>
      </c>
      <c r="O15" s="112">
        <v>360263</v>
      </c>
      <c r="P15" s="112">
        <v>360263</v>
      </c>
      <c r="Q15" s="112">
        <v>360263</v>
      </c>
      <c r="R15" s="76">
        <v>1.25</v>
      </c>
      <c r="S15" s="76">
        <v>1</v>
      </c>
      <c r="T15" s="81">
        <v>0.909</v>
      </c>
      <c r="U15" s="54">
        <f>ROUND(K15*D15*R15*T15/1000*S15,1)-4.4</f>
        <v>1105.3999999999999</v>
      </c>
      <c r="V15" s="54">
        <f t="shared" si="1"/>
        <v>1081.3</v>
      </c>
      <c r="W15" s="54">
        <f t="shared" si="2"/>
        <v>62.2</v>
      </c>
      <c r="X15" s="54">
        <f t="shared" si="3"/>
        <v>28.5</v>
      </c>
      <c r="Y15" s="54">
        <f t="shared" si="4"/>
        <v>0</v>
      </c>
      <c r="Z15" s="54">
        <f t="shared" si="5"/>
        <v>0</v>
      </c>
      <c r="AA15" s="54">
        <f t="shared" si="6"/>
        <v>0</v>
      </c>
      <c r="AB15" s="54">
        <f t="shared" si="0"/>
        <v>2277.3999999999996</v>
      </c>
      <c r="AC15" s="68"/>
      <c r="AD15" s="68"/>
    </row>
    <row r="16" spans="1:30" s="41" customFormat="1" ht="15.75">
      <c r="A16" s="35">
        <v>9</v>
      </c>
      <c r="B16" s="45" t="s">
        <v>6</v>
      </c>
      <c r="C16" s="79">
        <v>5</v>
      </c>
      <c r="D16" s="37"/>
      <c r="E16" s="37"/>
      <c r="F16" s="37"/>
      <c r="G16" s="37"/>
      <c r="H16" s="37"/>
      <c r="I16" s="37"/>
      <c r="J16" s="37"/>
      <c r="K16" s="113">
        <v>27956</v>
      </c>
      <c r="L16" s="113">
        <v>30286</v>
      </c>
      <c r="M16" s="113">
        <v>30286</v>
      </c>
      <c r="N16" s="113">
        <v>27956</v>
      </c>
      <c r="O16" s="113">
        <v>427532</v>
      </c>
      <c r="P16" s="113">
        <v>427532</v>
      </c>
      <c r="Q16" s="113">
        <v>427532</v>
      </c>
      <c r="R16" s="77"/>
      <c r="S16" s="76">
        <v>1</v>
      </c>
      <c r="T16" s="81">
        <v>0.778</v>
      </c>
      <c r="U16" s="54">
        <f t="shared" si="7"/>
        <v>0</v>
      </c>
      <c r="V16" s="54">
        <f t="shared" si="1"/>
        <v>0</v>
      </c>
      <c r="W16" s="54">
        <f t="shared" si="2"/>
        <v>0</v>
      </c>
      <c r="X16" s="54">
        <f t="shared" si="3"/>
        <v>0</v>
      </c>
      <c r="Y16" s="54">
        <f t="shared" si="4"/>
        <v>0</v>
      </c>
      <c r="Z16" s="54">
        <f t="shared" si="5"/>
        <v>0</v>
      </c>
      <c r="AA16" s="54">
        <f t="shared" si="6"/>
        <v>0</v>
      </c>
      <c r="AB16" s="54">
        <f t="shared" si="0"/>
        <v>0</v>
      </c>
      <c r="AC16" s="68"/>
      <c r="AD16" s="68"/>
    </row>
    <row r="17" spans="1:30" s="41" customFormat="1" ht="15.75">
      <c r="A17" s="44">
        <v>10</v>
      </c>
      <c r="B17" s="36" t="s">
        <v>7</v>
      </c>
      <c r="C17" s="79">
        <v>5</v>
      </c>
      <c r="D17" s="37">
        <v>6</v>
      </c>
      <c r="E17" s="37">
        <v>3</v>
      </c>
      <c r="F17" s="37"/>
      <c r="G17" s="37"/>
      <c r="H17" s="37"/>
      <c r="I17" s="37"/>
      <c r="J17" s="37"/>
      <c r="K17" s="113">
        <v>27956</v>
      </c>
      <c r="L17" s="113">
        <v>30286</v>
      </c>
      <c r="M17" s="113">
        <v>30286</v>
      </c>
      <c r="N17" s="113">
        <v>27956</v>
      </c>
      <c r="O17" s="113">
        <v>427532</v>
      </c>
      <c r="P17" s="113">
        <v>427532</v>
      </c>
      <c r="Q17" s="113">
        <v>427532</v>
      </c>
      <c r="R17" s="77">
        <v>5.556</v>
      </c>
      <c r="S17" s="76">
        <v>1</v>
      </c>
      <c r="T17" s="81">
        <v>0.963</v>
      </c>
      <c r="U17" s="54">
        <f>ROUND(K17*D17*R17*T17/1000*S17,1)-0.6</f>
        <v>896.9</v>
      </c>
      <c r="V17" s="54">
        <f t="shared" si="1"/>
        <v>448.7</v>
      </c>
      <c r="W17" s="54">
        <f t="shared" si="2"/>
        <v>0</v>
      </c>
      <c r="X17" s="54">
        <f t="shared" si="3"/>
        <v>0</v>
      </c>
      <c r="Y17" s="54">
        <f t="shared" si="4"/>
        <v>0</v>
      </c>
      <c r="Z17" s="54">
        <f t="shared" si="5"/>
        <v>0</v>
      </c>
      <c r="AA17" s="54">
        <f t="shared" si="6"/>
        <v>0</v>
      </c>
      <c r="AB17" s="54">
        <f t="shared" si="0"/>
        <v>1345.6</v>
      </c>
      <c r="AC17" s="68"/>
      <c r="AD17" s="68"/>
    </row>
    <row r="18" spans="1:30" s="41" customFormat="1" ht="15.75">
      <c r="A18" s="35">
        <v>11</v>
      </c>
      <c r="B18" s="36" t="s">
        <v>8</v>
      </c>
      <c r="C18" s="79">
        <v>5</v>
      </c>
      <c r="D18" s="37">
        <v>11</v>
      </c>
      <c r="E18" s="37"/>
      <c r="F18" s="37"/>
      <c r="G18" s="37"/>
      <c r="H18" s="37"/>
      <c r="I18" s="37"/>
      <c r="J18" s="37"/>
      <c r="K18" s="113">
        <v>27956</v>
      </c>
      <c r="L18" s="113">
        <v>30286</v>
      </c>
      <c r="M18" s="113">
        <v>30286</v>
      </c>
      <c r="N18" s="113">
        <v>27956</v>
      </c>
      <c r="O18" s="113">
        <v>427532</v>
      </c>
      <c r="P18" s="113">
        <v>427532</v>
      </c>
      <c r="Q18" s="113">
        <v>427532</v>
      </c>
      <c r="R18" s="77">
        <v>4.545</v>
      </c>
      <c r="S18" s="76">
        <v>1.101</v>
      </c>
      <c r="T18" s="81">
        <v>1</v>
      </c>
      <c r="U18" s="54">
        <f>ROUND(K18*D18*R18*T18/1000*S18,1)+0.7</f>
        <v>1539.5</v>
      </c>
      <c r="V18" s="54">
        <f t="shared" si="1"/>
        <v>0</v>
      </c>
      <c r="W18" s="54">
        <f t="shared" si="2"/>
        <v>0</v>
      </c>
      <c r="X18" s="54">
        <f t="shared" si="3"/>
        <v>0</v>
      </c>
      <c r="Y18" s="54">
        <f t="shared" si="4"/>
        <v>0</v>
      </c>
      <c r="Z18" s="54">
        <f t="shared" si="5"/>
        <v>0</v>
      </c>
      <c r="AA18" s="54">
        <f t="shared" si="6"/>
        <v>0</v>
      </c>
      <c r="AB18" s="54">
        <f t="shared" si="0"/>
        <v>1539.5</v>
      </c>
      <c r="AC18" s="68"/>
      <c r="AD18" s="68"/>
    </row>
    <row r="19" spans="1:30" s="41" customFormat="1" ht="15.75">
      <c r="A19" s="35">
        <v>12</v>
      </c>
      <c r="B19" s="36" t="s">
        <v>9</v>
      </c>
      <c r="C19" s="79">
        <v>5</v>
      </c>
      <c r="D19" s="37">
        <v>14</v>
      </c>
      <c r="E19" s="37"/>
      <c r="F19" s="37"/>
      <c r="G19" s="37"/>
      <c r="H19" s="37"/>
      <c r="I19" s="37"/>
      <c r="J19" s="37"/>
      <c r="K19" s="113">
        <v>27956</v>
      </c>
      <c r="L19" s="113">
        <v>30286</v>
      </c>
      <c r="M19" s="113">
        <v>30286</v>
      </c>
      <c r="N19" s="113">
        <v>27956</v>
      </c>
      <c r="O19" s="113">
        <v>427532</v>
      </c>
      <c r="P19" s="113">
        <v>427532</v>
      </c>
      <c r="Q19" s="113">
        <v>427532</v>
      </c>
      <c r="R19" s="77">
        <v>3.571</v>
      </c>
      <c r="S19" s="76">
        <v>1</v>
      </c>
      <c r="T19" s="81">
        <v>0.909</v>
      </c>
      <c r="U19" s="54">
        <f>ROUND(K19*D19*R19*T19/1000*S19,1)+0.7</f>
        <v>1271.1000000000001</v>
      </c>
      <c r="V19" s="54">
        <f t="shared" si="1"/>
        <v>0</v>
      </c>
      <c r="W19" s="54">
        <f t="shared" si="2"/>
        <v>0</v>
      </c>
      <c r="X19" s="54">
        <f t="shared" si="3"/>
        <v>0</v>
      </c>
      <c r="Y19" s="54">
        <f t="shared" si="4"/>
        <v>0</v>
      </c>
      <c r="Z19" s="54">
        <f t="shared" si="5"/>
        <v>0</v>
      </c>
      <c r="AA19" s="54">
        <f t="shared" si="6"/>
        <v>0</v>
      </c>
      <c r="AB19" s="54">
        <f t="shared" si="0"/>
        <v>1271.1000000000001</v>
      </c>
      <c r="AC19" s="68"/>
      <c r="AD19" s="68"/>
    </row>
    <row r="20" spans="1:30" s="41" customFormat="1" ht="15.75">
      <c r="A20" s="44">
        <v>13</v>
      </c>
      <c r="B20" s="36" t="s">
        <v>10</v>
      </c>
      <c r="C20" s="79">
        <v>5</v>
      </c>
      <c r="D20" s="37">
        <v>31</v>
      </c>
      <c r="E20" s="37"/>
      <c r="F20" s="37"/>
      <c r="G20" s="37"/>
      <c r="H20" s="37">
        <v>3</v>
      </c>
      <c r="I20" s="37"/>
      <c r="J20" s="37"/>
      <c r="K20" s="113">
        <v>27956</v>
      </c>
      <c r="L20" s="113">
        <v>30286</v>
      </c>
      <c r="M20" s="113">
        <v>30286</v>
      </c>
      <c r="N20" s="113">
        <v>27956</v>
      </c>
      <c r="O20" s="113">
        <v>427532</v>
      </c>
      <c r="P20" s="113">
        <v>427532</v>
      </c>
      <c r="Q20" s="113">
        <v>427532</v>
      </c>
      <c r="R20" s="77">
        <v>1.613</v>
      </c>
      <c r="S20" s="76">
        <v>1</v>
      </c>
      <c r="T20" s="81">
        <v>0.896</v>
      </c>
      <c r="U20" s="54">
        <f>ROUND(K20*D20*R20*T20/1000*S20,1)+6.7</f>
        <v>1259.2</v>
      </c>
      <c r="V20" s="54">
        <f t="shared" si="1"/>
        <v>0</v>
      </c>
      <c r="W20" s="54">
        <f t="shared" si="2"/>
        <v>0</v>
      </c>
      <c r="X20" s="54">
        <f t="shared" si="3"/>
        <v>0</v>
      </c>
      <c r="Y20" s="54">
        <f t="shared" si="4"/>
        <v>1853.7</v>
      </c>
      <c r="Z20" s="54">
        <f t="shared" si="5"/>
        <v>0</v>
      </c>
      <c r="AA20" s="54">
        <f t="shared" si="6"/>
        <v>0</v>
      </c>
      <c r="AB20" s="54">
        <f t="shared" si="0"/>
        <v>3112.9</v>
      </c>
      <c r="AC20" s="68"/>
      <c r="AD20" s="68"/>
    </row>
    <row r="21" spans="1:30" s="41" customFormat="1" ht="19.5" customHeight="1">
      <c r="A21" s="35">
        <v>14</v>
      </c>
      <c r="B21" s="36" t="s">
        <v>11</v>
      </c>
      <c r="C21" s="79">
        <v>5</v>
      </c>
      <c r="D21" s="37"/>
      <c r="E21" s="37"/>
      <c r="F21" s="37"/>
      <c r="G21" s="37"/>
      <c r="H21" s="37"/>
      <c r="I21" s="37"/>
      <c r="J21" s="37"/>
      <c r="K21" s="113">
        <v>27956</v>
      </c>
      <c r="L21" s="113">
        <v>30286</v>
      </c>
      <c r="M21" s="113">
        <v>30286</v>
      </c>
      <c r="N21" s="113">
        <v>27956</v>
      </c>
      <c r="O21" s="113">
        <v>427532</v>
      </c>
      <c r="P21" s="113">
        <v>427532</v>
      </c>
      <c r="Q21" s="113">
        <v>427532</v>
      </c>
      <c r="R21" s="77"/>
      <c r="S21" s="76">
        <v>1</v>
      </c>
      <c r="T21" s="81">
        <v>0.781</v>
      </c>
      <c r="U21" s="54">
        <f t="shared" si="7"/>
        <v>0</v>
      </c>
      <c r="V21" s="54">
        <f t="shared" si="1"/>
        <v>0</v>
      </c>
      <c r="W21" s="54">
        <f t="shared" si="2"/>
        <v>0</v>
      </c>
      <c r="X21" s="54">
        <f t="shared" si="3"/>
        <v>0</v>
      </c>
      <c r="Y21" s="54">
        <f t="shared" si="4"/>
        <v>0</v>
      </c>
      <c r="Z21" s="54">
        <f t="shared" si="5"/>
        <v>0</v>
      </c>
      <c r="AA21" s="54">
        <f t="shared" si="6"/>
        <v>0</v>
      </c>
      <c r="AB21" s="54">
        <f t="shared" si="0"/>
        <v>0</v>
      </c>
      <c r="AC21" s="68"/>
      <c r="AD21" s="68"/>
    </row>
    <row r="22" spans="1:30" s="41" customFormat="1" ht="15.75">
      <c r="A22" s="35">
        <v>15</v>
      </c>
      <c r="B22" s="36" t="s">
        <v>12</v>
      </c>
      <c r="C22" s="79">
        <v>5</v>
      </c>
      <c r="D22" s="37">
        <v>30</v>
      </c>
      <c r="E22" s="37"/>
      <c r="F22" s="37"/>
      <c r="G22" s="37"/>
      <c r="H22" s="37"/>
      <c r="I22" s="37"/>
      <c r="J22" s="37"/>
      <c r="K22" s="113">
        <v>27956</v>
      </c>
      <c r="L22" s="113">
        <v>30286</v>
      </c>
      <c r="M22" s="113">
        <v>30286</v>
      </c>
      <c r="N22" s="113">
        <v>27956</v>
      </c>
      <c r="O22" s="113">
        <v>427532</v>
      </c>
      <c r="P22" s="113">
        <v>427532</v>
      </c>
      <c r="Q22" s="113">
        <v>427532</v>
      </c>
      <c r="R22" s="77">
        <v>1.667</v>
      </c>
      <c r="S22" s="76">
        <v>1</v>
      </c>
      <c r="T22" s="81">
        <v>0.939</v>
      </c>
      <c r="U22" s="54">
        <f>ROUND(K22*D22*R22*T22/1000*S22,1)-3</f>
        <v>1309.8</v>
      </c>
      <c r="V22" s="54">
        <f t="shared" si="1"/>
        <v>0</v>
      </c>
      <c r="W22" s="54">
        <f t="shared" si="2"/>
        <v>0</v>
      </c>
      <c r="X22" s="54">
        <f t="shared" si="3"/>
        <v>0</v>
      </c>
      <c r="Y22" s="54">
        <f t="shared" si="4"/>
        <v>0</v>
      </c>
      <c r="Z22" s="54">
        <f t="shared" si="5"/>
        <v>0</v>
      </c>
      <c r="AA22" s="54">
        <f t="shared" si="6"/>
        <v>0</v>
      </c>
      <c r="AB22" s="54">
        <f t="shared" si="0"/>
        <v>1309.8</v>
      </c>
      <c r="AC22" s="68"/>
      <c r="AD22" s="68"/>
    </row>
    <row r="23" spans="1:30" s="41" customFormat="1" ht="15.75" customHeight="1">
      <c r="A23" s="44">
        <v>16</v>
      </c>
      <c r="B23" s="36" t="s">
        <v>13</v>
      </c>
      <c r="C23" s="79">
        <v>5</v>
      </c>
      <c r="D23" s="37"/>
      <c r="E23" s="37">
        <v>13</v>
      </c>
      <c r="F23" s="37"/>
      <c r="G23" s="37"/>
      <c r="H23" s="37"/>
      <c r="I23" s="37"/>
      <c r="J23" s="37"/>
      <c r="K23" s="113">
        <v>27956</v>
      </c>
      <c r="L23" s="113">
        <v>30286</v>
      </c>
      <c r="M23" s="113">
        <v>30286</v>
      </c>
      <c r="N23" s="113">
        <v>27956</v>
      </c>
      <c r="O23" s="113">
        <v>427532</v>
      </c>
      <c r="P23" s="113">
        <v>427532</v>
      </c>
      <c r="Q23" s="113">
        <v>427532</v>
      </c>
      <c r="R23" s="77">
        <v>3.846</v>
      </c>
      <c r="S23" s="76">
        <v>1</v>
      </c>
      <c r="T23" s="81">
        <v>0.779</v>
      </c>
      <c r="U23" s="54">
        <f t="shared" si="7"/>
        <v>0</v>
      </c>
      <c r="V23" s="54">
        <f>ROUND(K23*E23*R23*T23/1000*S23,1)+2.6</f>
        <v>1091.3999999999999</v>
      </c>
      <c r="W23" s="54">
        <f t="shared" si="2"/>
        <v>0</v>
      </c>
      <c r="X23" s="54">
        <f t="shared" si="3"/>
        <v>0</v>
      </c>
      <c r="Y23" s="54">
        <f t="shared" si="4"/>
        <v>0</v>
      </c>
      <c r="Z23" s="54">
        <f t="shared" si="5"/>
        <v>0</v>
      </c>
      <c r="AA23" s="54">
        <f t="shared" si="6"/>
        <v>0</v>
      </c>
      <c r="AB23" s="54">
        <f t="shared" si="0"/>
        <v>1091.3999999999999</v>
      </c>
      <c r="AC23" s="68"/>
      <c r="AD23" s="68"/>
    </row>
    <row r="24" spans="1:30" s="41" customFormat="1" ht="19.5" customHeight="1">
      <c r="A24" s="35">
        <v>17</v>
      </c>
      <c r="B24" s="36" t="s">
        <v>14</v>
      </c>
      <c r="C24" s="79">
        <v>5</v>
      </c>
      <c r="D24" s="37"/>
      <c r="E24" s="37"/>
      <c r="F24" s="37"/>
      <c r="G24" s="37"/>
      <c r="H24" s="37"/>
      <c r="I24" s="37"/>
      <c r="J24" s="37"/>
      <c r="K24" s="113">
        <v>27956</v>
      </c>
      <c r="L24" s="113">
        <v>30286</v>
      </c>
      <c r="M24" s="113">
        <v>30286</v>
      </c>
      <c r="N24" s="113">
        <v>27956</v>
      </c>
      <c r="O24" s="113">
        <v>427532</v>
      </c>
      <c r="P24" s="113">
        <v>427532</v>
      </c>
      <c r="Q24" s="113">
        <v>427532</v>
      </c>
      <c r="R24" s="77"/>
      <c r="S24" s="76">
        <v>1</v>
      </c>
      <c r="T24" s="81">
        <v>0.713</v>
      </c>
      <c r="U24" s="54">
        <f t="shared" si="7"/>
        <v>0</v>
      </c>
      <c r="V24" s="54">
        <f t="shared" si="1"/>
        <v>0</v>
      </c>
      <c r="W24" s="54">
        <f t="shared" si="2"/>
        <v>0</v>
      </c>
      <c r="X24" s="54">
        <f t="shared" si="3"/>
        <v>0</v>
      </c>
      <c r="Y24" s="54">
        <f t="shared" si="4"/>
        <v>0</v>
      </c>
      <c r="Z24" s="54">
        <f t="shared" si="5"/>
        <v>0</v>
      </c>
      <c r="AA24" s="54">
        <f t="shared" si="6"/>
        <v>0</v>
      </c>
      <c r="AB24" s="54">
        <f t="shared" si="0"/>
        <v>0</v>
      </c>
      <c r="AC24" s="68"/>
      <c r="AD24" s="68"/>
    </row>
    <row r="25" spans="1:30" s="41" customFormat="1" ht="15.75">
      <c r="A25" s="35">
        <v>18</v>
      </c>
      <c r="B25" s="36" t="s">
        <v>15</v>
      </c>
      <c r="C25" s="79">
        <v>5</v>
      </c>
      <c r="D25" s="37"/>
      <c r="E25" s="37"/>
      <c r="F25" s="37"/>
      <c r="G25" s="37"/>
      <c r="H25" s="37"/>
      <c r="I25" s="37"/>
      <c r="J25" s="37"/>
      <c r="K25" s="113">
        <v>27956</v>
      </c>
      <c r="L25" s="113">
        <v>30286</v>
      </c>
      <c r="M25" s="113">
        <v>30286</v>
      </c>
      <c r="N25" s="113">
        <v>27956</v>
      </c>
      <c r="O25" s="113">
        <v>427532</v>
      </c>
      <c r="P25" s="113">
        <v>427532</v>
      </c>
      <c r="Q25" s="113">
        <v>427532</v>
      </c>
      <c r="R25" s="77"/>
      <c r="S25" s="76">
        <v>1</v>
      </c>
      <c r="T25" s="81">
        <v>0.683</v>
      </c>
      <c r="U25" s="54">
        <f t="shared" si="7"/>
        <v>0</v>
      </c>
      <c r="V25" s="54">
        <f t="shared" si="1"/>
        <v>0</v>
      </c>
      <c r="W25" s="54">
        <f t="shared" si="2"/>
        <v>0</v>
      </c>
      <c r="X25" s="54">
        <f t="shared" si="3"/>
        <v>0</v>
      </c>
      <c r="Y25" s="54">
        <f t="shared" si="4"/>
        <v>0</v>
      </c>
      <c r="Z25" s="54">
        <f t="shared" si="5"/>
        <v>0</v>
      </c>
      <c r="AA25" s="54">
        <f t="shared" si="6"/>
        <v>0</v>
      </c>
      <c r="AB25" s="54">
        <f t="shared" si="0"/>
        <v>0</v>
      </c>
      <c r="AC25" s="68"/>
      <c r="AD25" s="68"/>
    </row>
    <row r="26" spans="1:30" s="41" customFormat="1" ht="21" customHeight="1">
      <c r="A26" s="44">
        <v>19</v>
      </c>
      <c r="B26" s="36" t="s">
        <v>16</v>
      </c>
      <c r="C26" s="79">
        <v>5</v>
      </c>
      <c r="D26" s="37">
        <v>15</v>
      </c>
      <c r="E26" s="37"/>
      <c r="F26" s="37"/>
      <c r="G26" s="37"/>
      <c r="H26" s="37"/>
      <c r="I26" s="37"/>
      <c r="J26" s="37"/>
      <c r="K26" s="113">
        <v>27956</v>
      </c>
      <c r="L26" s="113">
        <v>30286</v>
      </c>
      <c r="M26" s="113">
        <v>30286</v>
      </c>
      <c r="N26" s="113">
        <v>27956</v>
      </c>
      <c r="O26" s="113">
        <v>427532</v>
      </c>
      <c r="P26" s="113">
        <v>427532</v>
      </c>
      <c r="Q26" s="113">
        <v>427532</v>
      </c>
      <c r="R26" s="77">
        <v>3.333</v>
      </c>
      <c r="S26" s="76">
        <v>1</v>
      </c>
      <c r="T26" s="81">
        <v>0.974</v>
      </c>
      <c r="U26" s="54">
        <f>ROUND(K26*D26*R26*T26/1000*S26,1)+1.3</f>
        <v>1362.6</v>
      </c>
      <c r="V26" s="54">
        <f t="shared" si="1"/>
        <v>0</v>
      </c>
      <c r="W26" s="54">
        <f t="shared" si="2"/>
        <v>0</v>
      </c>
      <c r="X26" s="54">
        <f t="shared" si="3"/>
        <v>0</v>
      </c>
      <c r="Y26" s="54">
        <f t="shared" si="4"/>
        <v>0</v>
      </c>
      <c r="Z26" s="54">
        <f t="shared" si="5"/>
        <v>0</v>
      </c>
      <c r="AA26" s="54">
        <f t="shared" si="6"/>
        <v>0</v>
      </c>
      <c r="AB26" s="54">
        <f t="shared" si="0"/>
        <v>1362.6</v>
      </c>
      <c r="AC26" s="68"/>
      <c r="AD26" s="68"/>
    </row>
    <row r="27" spans="1:30" s="41" customFormat="1" ht="15.75">
      <c r="A27" s="35">
        <v>20</v>
      </c>
      <c r="B27" s="36" t="s">
        <v>17</v>
      </c>
      <c r="C27" s="79">
        <v>5</v>
      </c>
      <c r="D27" s="37"/>
      <c r="E27" s="37">
        <v>27</v>
      </c>
      <c r="F27" s="37"/>
      <c r="G27" s="37"/>
      <c r="H27" s="37"/>
      <c r="I27" s="37"/>
      <c r="J27" s="37"/>
      <c r="K27" s="113">
        <v>27956</v>
      </c>
      <c r="L27" s="113">
        <v>30286</v>
      </c>
      <c r="M27" s="113">
        <v>30286</v>
      </c>
      <c r="N27" s="113">
        <v>27956</v>
      </c>
      <c r="O27" s="113">
        <v>427532</v>
      </c>
      <c r="P27" s="113">
        <v>427532</v>
      </c>
      <c r="Q27" s="113">
        <v>427532</v>
      </c>
      <c r="R27" s="77">
        <v>1.852</v>
      </c>
      <c r="S27" s="76">
        <v>1.095</v>
      </c>
      <c r="T27" s="81">
        <v>1</v>
      </c>
      <c r="U27" s="54">
        <f t="shared" si="7"/>
        <v>0</v>
      </c>
      <c r="V27" s="54">
        <f>ROUND(K27*E27*R27*T27/1000*S27,1)+1.9</f>
        <v>1532.6000000000001</v>
      </c>
      <c r="W27" s="54">
        <f t="shared" si="2"/>
        <v>0</v>
      </c>
      <c r="X27" s="54">
        <f t="shared" si="3"/>
        <v>0</v>
      </c>
      <c r="Y27" s="54">
        <f t="shared" si="4"/>
        <v>0</v>
      </c>
      <c r="Z27" s="54">
        <f t="shared" si="5"/>
        <v>0</v>
      </c>
      <c r="AA27" s="54">
        <f t="shared" si="6"/>
        <v>0</v>
      </c>
      <c r="AB27" s="54">
        <f t="shared" si="0"/>
        <v>1532.6000000000001</v>
      </c>
      <c r="AC27" s="68"/>
      <c r="AD27" s="68"/>
    </row>
    <row r="28" spans="1:30" s="41" customFormat="1" ht="15.75">
      <c r="A28" s="35">
        <v>21</v>
      </c>
      <c r="B28" s="36" t="s">
        <v>18</v>
      </c>
      <c r="C28" s="79">
        <v>5</v>
      </c>
      <c r="D28" s="66"/>
      <c r="E28" s="37"/>
      <c r="F28" s="37"/>
      <c r="G28" s="37"/>
      <c r="H28" s="37"/>
      <c r="I28" s="37"/>
      <c r="J28" s="37"/>
      <c r="K28" s="113">
        <v>27956</v>
      </c>
      <c r="L28" s="113">
        <v>30286</v>
      </c>
      <c r="M28" s="113">
        <v>30286</v>
      </c>
      <c r="N28" s="113">
        <v>27956</v>
      </c>
      <c r="O28" s="113">
        <v>427532</v>
      </c>
      <c r="P28" s="113">
        <v>427532</v>
      </c>
      <c r="Q28" s="113">
        <v>427532</v>
      </c>
      <c r="R28" s="77"/>
      <c r="S28" s="76">
        <v>1</v>
      </c>
      <c r="T28" s="81">
        <v>0.875</v>
      </c>
      <c r="U28" s="54">
        <f t="shared" si="7"/>
        <v>0</v>
      </c>
      <c r="V28" s="54">
        <f t="shared" si="1"/>
        <v>0</v>
      </c>
      <c r="W28" s="54">
        <f t="shared" si="2"/>
        <v>0</v>
      </c>
      <c r="X28" s="54">
        <f t="shared" si="3"/>
        <v>0</v>
      </c>
      <c r="Y28" s="54">
        <f t="shared" si="4"/>
        <v>0</v>
      </c>
      <c r="Z28" s="54">
        <f t="shared" si="5"/>
        <v>0</v>
      </c>
      <c r="AA28" s="54">
        <f t="shared" si="6"/>
        <v>0</v>
      </c>
      <c r="AB28" s="54">
        <f t="shared" si="0"/>
        <v>0</v>
      </c>
      <c r="AC28" s="68"/>
      <c r="AD28" s="68"/>
    </row>
    <row r="29" spans="1:30" s="41" customFormat="1" ht="20.25" customHeight="1">
      <c r="A29" s="44">
        <v>22</v>
      </c>
      <c r="B29" s="36" t="s">
        <v>19</v>
      </c>
      <c r="C29" s="79">
        <v>5</v>
      </c>
      <c r="D29" s="37">
        <v>13</v>
      </c>
      <c r="E29" s="37"/>
      <c r="F29" s="37"/>
      <c r="G29" s="37"/>
      <c r="H29" s="37"/>
      <c r="I29" s="37"/>
      <c r="J29" s="37"/>
      <c r="K29" s="113">
        <v>27956</v>
      </c>
      <c r="L29" s="113">
        <v>30286</v>
      </c>
      <c r="M29" s="113">
        <v>30286</v>
      </c>
      <c r="N29" s="113">
        <v>27956</v>
      </c>
      <c r="O29" s="113">
        <v>427532</v>
      </c>
      <c r="P29" s="113">
        <v>427532</v>
      </c>
      <c r="Q29" s="113">
        <v>427532</v>
      </c>
      <c r="R29" s="77">
        <v>3.846</v>
      </c>
      <c r="S29" s="76">
        <v>1</v>
      </c>
      <c r="T29" s="81">
        <v>0.936</v>
      </c>
      <c r="U29" s="54">
        <f>ROUND(K29*D29*R29*T29/1000*S29,1)+6.3</f>
        <v>1314.6</v>
      </c>
      <c r="V29" s="54">
        <f t="shared" si="1"/>
        <v>0</v>
      </c>
      <c r="W29" s="54">
        <f t="shared" si="2"/>
        <v>0</v>
      </c>
      <c r="X29" s="54">
        <f t="shared" si="3"/>
        <v>0</v>
      </c>
      <c r="Y29" s="54">
        <f t="shared" si="4"/>
        <v>0</v>
      </c>
      <c r="Z29" s="54">
        <f t="shared" si="5"/>
        <v>0</v>
      </c>
      <c r="AA29" s="54">
        <f t="shared" si="6"/>
        <v>0</v>
      </c>
      <c r="AB29" s="54">
        <f t="shared" si="0"/>
        <v>1314.6</v>
      </c>
      <c r="AC29" s="68"/>
      <c r="AD29" s="68"/>
    </row>
    <row r="30" spans="1:30" s="41" customFormat="1" ht="18.75" customHeight="1">
      <c r="A30" s="35">
        <v>23</v>
      </c>
      <c r="B30" s="36" t="s">
        <v>20</v>
      </c>
      <c r="C30" s="79">
        <v>6</v>
      </c>
      <c r="D30" s="37">
        <v>8</v>
      </c>
      <c r="E30" s="37"/>
      <c r="F30" s="37"/>
      <c r="G30" s="37"/>
      <c r="H30" s="37"/>
      <c r="I30" s="37"/>
      <c r="J30" s="37"/>
      <c r="K30" s="113">
        <v>30471</v>
      </c>
      <c r="L30" s="113">
        <v>33645</v>
      </c>
      <c r="M30" s="113">
        <v>33645</v>
      </c>
      <c r="N30" s="113">
        <v>30471</v>
      </c>
      <c r="O30" s="113">
        <v>427532</v>
      </c>
      <c r="P30" s="113">
        <v>427532</v>
      </c>
      <c r="Q30" s="113">
        <v>427532</v>
      </c>
      <c r="R30" s="77">
        <v>6.25</v>
      </c>
      <c r="S30" s="76">
        <v>1</v>
      </c>
      <c r="T30" s="81">
        <v>0.905</v>
      </c>
      <c r="U30" s="54">
        <f>ROUND(K30*D30*R30*T30/1000*S30,1)+4.8</f>
        <v>1383.6</v>
      </c>
      <c r="V30" s="54">
        <f t="shared" si="1"/>
        <v>0</v>
      </c>
      <c r="W30" s="54">
        <f t="shared" si="2"/>
        <v>0</v>
      </c>
      <c r="X30" s="54">
        <f t="shared" si="3"/>
        <v>0</v>
      </c>
      <c r="Y30" s="54">
        <f t="shared" si="4"/>
        <v>0</v>
      </c>
      <c r="Z30" s="54">
        <f t="shared" si="5"/>
        <v>0</v>
      </c>
      <c r="AA30" s="54">
        <f t="shared" si="6"/>
        <v>0</v>
      </c>
      <c r="AB30" s="54">
        <f t="shared" si="0"/>
        <v>1383.6</v>
      </c>
      <c r="AC30" s="68"/>
      <c r="AD30" s="68"/>
    </row>
    <row r="31" spans="1:30" s="41" customFormat="1" ht="15.75">
      <c r="A31" s="35">
        <v>24</v>
      </c>
      <c r="B31" s="36" t="s">
        <v>21</v>
      </c>
      <c r="C31" s="79">
        <v>5</v>
      </c>
      <c r="D31" s="37"/>
      <c r="E31" s="37"/>
      <c r="F31" s="37"/>
      <c r="G31" s="37"/>
      <c r="H31" s="37"/>
      <c r="I31" s="37"/>
      <c r="J31" s="37"/>
      <c r="K31" s="113">
        <v>27956</v>
      </c>
      <c r="L31" s="113">
        <v>30286</v>
      </c>
      <c r="M31" s="113">
        <v>30286</v>
      </c>
      <c r="N31" s="113">
        <v>27956</v>
      </c>
      <c r="O31" s="113">
        <v>427532</v>
      </c>
      <c r="P31" s="113">
        <v>427532</v>
      </c>
      <c r="Q31" s="113">
        <v>427532</v>
      </c>
      <c r="R31" s="77"/>
      <c r="S31" s="76">
        <v>1</v>
      </c>
      <c r="T31" s="81">
        <v>0.883</v>
      </c>
      <c r="U31" s="54">
        <f t="shared" si="7"/>
        <v>0</v>
      </c>
      <c r="V31" s="54">
        <f t="shared" si="1"/>
        <v>0</v>
      </c>
      <c r="W31" s="54">
        <f t="shared" si="2"/>
        <v>0</v>
      </c>
      <c r="X31" s="54">
        <f t="shared" si="3"/>
        <v>0</v>
      </c>
      <c r="Y31" s="54">
        <f t="shared" si="4"/>
        <v>0</v>
      </c>
      <c r="Z31" s="54">
        <f t="shared" si="5"/>
        <v>0</v>
      </c>
      <c r="AA31" s="54">
        <f t="shared" si="6"/>
        <v>0</v>
      </c>
      <c r="AB31" s="54">
        <f t="shared" si="0"/>
        <v>0</v>
      </c>
      <c r="AC31" s="68"/>
      <c r="AD31" s="68"/>
    </row>
    <row r="32" spans="1:30" s="41" customFormat="1" ht="15.75">
      <c r="A32" s="44">
        <v>25</v>
      </c>
      <c r="B32" s="36" t="s">
        <v>22</v>
      </c>
      <c r="C32" s="79">
        <v>6</v>
      </c>
      <c r="D32" s="37"/>
      <c r="E32" s="37"/>
      <c r="F32" s="37"/>
      <c r="G32" s="37"/>
      <c r="H32" s="37"/>
      <c r="I32" s="37"/>
      <c r="J32" s="37"/>
      <c r="K32" s="113">
        <v>30471</v>
      </c>
      <c r="L32" s="113">
        <v>33645</v>
      </c>
      <c r="M32" s="113">
        <v>33645</v>
      </c>
      <c r="N32" s="113">
        <v>30471</v>
      </c>
      <c r="O32" s="113">
        <v>427532</v>
      </c>
      <c r="P32" s="113">
        <v>427532</v>
      </c>
      <c r="Q32" s="113">
        <v>427532</v>
      </c>
      <c r="R32" s="77"/>
      <c r="S32" s="76">
        <v>1</v>
      </c>
      <c r="T32" s="81">
        <v>0.939</v>
      </c>
      <c r="U32" s="54">
        <f t="shared" si="7"/>
        <v>0</v>
      </c>
      <c r="V32" s="54">
        <f t="shared" si="1"/>
        <v>0</v>
      </c>
      <c r="W32" s="54">
        <f t="shared" si="2"/>
        <v>0</v>
      </c>
      <c r="X32" s="54">
        <f t="shared" si="3"/>
        <v>0</v>
      </c>
      <c r="Y32" s="54">
        <f t="shared" si="4"/>
        <v>0</v>
      </c>
      <c r="Z32" s="54">
        <f t="shared" si="5"/>
        <v>0</v>
      </c>
      <c r="AA32" s="54">
        <f t="shared" si="6"/>
        <v>0</v>
      </c>
      <c r="AB32" s="54">
        <f t="shared" si="0"/>
        <v>0</v>
      </c>
      <c r="AC32" s="68"/>
      <c r="AD32" s="68"/>
    </row>
    <row r="33" spans="1:30" s="41" customFormat="1" ht="15.75">
      <c r="A33" s="35">
        <v>26</v>
      </c>
      <c r="B33" s="36" t="s">
        <v>23</v>
      </c>
      <c r="C33" s="79">
        <v>5</v>
      </c>
      <c r="D33" s="37">
        <v>3</v>
      </c>
      <c r="E33" s="37"/>
      <c r="F33" s="37"/>
      <c r="G33" s="37"/>
      <c r="H33" s="37"/>
      <c r="I33" s="37"/>
      <c r="J33" s="37"/>
      <c r="K33" s="113">
        <v>27956</v>
      </c>
      <c r="L33" s="113">
        <v>30286</v>
      </c>
      <c r="M33" s="113">
        <v>30286</v>
      </c>
      <c r="N33" s="113">
        <v>27956</v>
      </c>
      <c r="O33" s="113">
        <v>427532</v>
      </c>
      <c r="P33" s="113">
        <v>427532</v>
      </c>
      <c r="Q33" s="113">
        <v>427532</v>
      </c>
      <c r="R33" s="77">
        <v>8.333</v>
      </c>
      <c r="S33" s="76">
        <v>1</v>
      </c>
      <c r="T33" s="81">
        <v>0.74</v>
      </c>
      <c r="U33" s="54">
        <f>ROUND(K33*D33*R33*T33/1000*S33,1)+2.6</f>
        <v>519.8000000000001</v>
      </c>
      <c r="V33" s="54">
        <f t="shared" si="1"/>
        <v>0</v>
      </c>
      <c r="W33" s="54">
        <f t="shared" si="2"/>
        <v>0</v>
      </c>
      <c r="X33" s="54">
        <f t="shared" si="3"/>
        <v>0</v>
      </c>
      <c r="Y33" s="54">
        <f t="shared" si="4"/>
        <v>0</v>
      </c>
      <c r="Z33" s="54">
        <f t="shared" si="5"/>
        <v>0</v>
      </c>
      <c r="AA33" s="54">
        <f t="shared" si="6"/>
        <v>0</v>
      </c>
      <c r="AB33" s="54">
        <f t="shared" si="0"/>
        <v>519.8000000000001</v>
      </c>
      <c r="AC33" s="68"/>
      <c r="AD33" s="68"/>
    </row>
    <row r="34" spans="1:30" s="41" customFormat="1" ht="24" customHeight="1">
      <c r="A34" s="35">
        <v>27</v>
      </c>
      <c r="B34" s="36" t="s">
        <v>24</v>
      </c>
      <c r="C34" s="79">
        <v>5</v>
      </c>
      <c r="D34" s="37">
        <v>6</v>
      </c>
      <c r="E34" s="37"/>
      <c r="F34" s="37"/>
      <c r="G34" s="37"/>
      <c r="H34" s="37"/>
      <c r="I34" s="37"/>
      <c r="J34" s="37"/>
      <c r="K34" s="113">
        <v>27956</v>
      </c>
      <c r="L34" s="113">
        <v>30286</v>
      </c>
      <c r="M34" s="113">
        <v>30286</v>
      </c>
      <c r="N34" s="113">
        <v>27956</v>
      </c>
      <c r="O34" s="113">
        <v>427532</v>
      </c>
      <c r="P34" s="113">
        <v>427532</v>
      </c>
      <c r="Q34" s="113">
        <v>427532</v>
      </c>
      <c r="R34" s="77">
        <v>8.333</v>
      </c>
      <c r="S34" s="76">
        <v>1</v>
      </c>
      <c r="T34" s="81">
        <v>0.834</v>
      </c>
      <c r="U34" s="54">
        <f>ROUND(K34*D34*R34*T34/1000*S34,1)-2</f>
        <v>1163.7</v>
      </c>
      <c r="V34" s="54">
        <f t="shared" si="1"/>
        <v>0</v>
      </c>
      <c r="W34" s="54">
        <f t="shared" si="2"/>
        <v>0</v>
      </c>
      <c r="X34" s="54">
        <f t="shared" si="3"/>
        <v>0</v>
      </c>
      <c r="Y34" s="54">
        <f t="shared" si="4"/>
        <v>0</v>
      </c>
      <c r="Z34" s="54">
        <f t="shared" si="5"/>
        <v>0</v>
      </c>
      <c r="AA34" s="54">
        <f t="shared" si="6"/>
        <v>0</v>
      </c>
      <c r="AB34" s="54">
        <f t="shared" si="0"/>
        <v>1163.7</v>
      </c>
      <c r="AC34" s="68"/>
      <c r="AD34" s="68"/>
    </row>
    <row r="35" spans="1:30" s="41" customFormat="1" ht="27.75" customHeight="1">
      <c r="A35" s="44">
        <v>28</v>
      </c>
      <c r="B35" s="36" t="s">
        <v>25</v>
      </c>
      <c r="C35" s="79">
        <v>5</v>
      </c>
      <c r="D35" s="37"/>
      <c r="E35" s="37"/>
      <c r="F35" s="37"/>
      <c r="G35" s="37"/>
      <c r="H35" s="37"/>
      <c r="I35" s="37"/>
      <c r="J35" s="37"/>
      <c r="K35" s="113">
        <v>27956</v>
      </c>
      <c r="L35" s="113">
        <v>30286</v>
      </c>
      <c r="M35" s="113">
        <v>30286</v>
      </c>
      <c r="N35" s="113">
        <v>27956</v>
      </c>
      <c r="O35" s="113">
        <v>427532</v>
      </c>
      <c r="P35" s="113">
        <v>427532</v>
      </c>
      <c r="Q35" s="113">
        <v>427532</v>
      </c>
      <c r="R35" s="77"/>
      <c r="S35" s="76">
        <v>1</v>
      </c>
      <c r="T35" s="81">
        <v>0.816</v>
      </c>
      <c r="U35" s="54">
        <f t="shared" si="7"/>
        <v>0</v>
      </c>
      <c r="V35" s="54">
        <f t="shared" si="1"/>
        <v>0</v>
      </c>
      <c r="W35" s="54">
        <f t="shared" si="2"/>
        <v>0</v>
      </c>
      <c r="X35" s="54">
        <f t="shared" si="3"/>
        <v>0</v>
      </c>
      <c r="Y35" s="54">
        <f t="shared" si="4"/>
        <v>0</v>
      </c>
      <c r="Z35" s="54">
        <f t="shared" si="5"/>
        <v>0</v>
      </c>
      <c r="AA35" s="54">
        <f t="shared" si="6"/>
        <v>0</v>
      </c>
      <c r="AB35" s="54">
        <f t="shared" si="0"/>
        <v>0</v>
      </c>
      <c r="AC35" s="68"/>
      <c r="AD35" s="68"/>
    </row>
    <row r="36" spans="1:30" s="41" customFormat="1" ht="18.75" customHeight="1">
      <c r="A36" s="35">
        <v>29</v>
      </c>
      <c r="B36" s="36" t="s">
        <v>26</v>
      </c>
      <c r="C36" s="79">
        <v>6</v>
      </c>
      <c r="D36" s="37">
        <v>10</v>
      </c>
      <c r="E36" s="37"/>
      <c r="F36" s="37"/>
      <c r="G36" s="37"/>
      <c r="H36" s="37"/>
      <c r="I36" s="37"/>
      <c r="J36" s="37"/>
      <c r="K36" s="113">
        <v>30471</v>
      </c>
      <c r="L36" s="113">
        <v>33645</v>
      </c>
      <c r="M36" s="113">
        <v>33645</v>
      </c>
      <c r="N36" s="113">
        <v>30471</v>
      </c>
      <c r="O36" s="113">
        <v>427532</v>
      </c>
      <c r="P36" s="113">
        <v>427532</v>
      </c>
      <c r="Q36" s="113">
        <v>427532</v>
      </c>
      <c r="R36" s="77">
        <v>5</v>
      </c>
      <c r="S36" s="76">
        <v>1</v>
      </c>
      <c r="T36" s="81">
        <v>0.9222</v>
      </c>
      <c r="U36" s="54">
        <f>ROUND(K36*D36*R36*T36/1000*S36,1)+3.8</f>
        <v>1408.8</v>
      </c>
      <c r="V36" s="54">
        <f t="shared" si="1"/>
        <v>0</v>
      </c>
      <c r="W36" s="54">
        <f t="shared" si="2"/>
        <v>0</v>
      </c>
      <c r="X36" s="54">
        <f t="shared" si="3"/>
        <v>0</v>
      </c>
      <c r="Y36" s="54">
        <f t="shared" si="4"/>
        <v>0</v>
      </c>
      <c r="Z36" s="54">
        <f t="shared" si="5"/>
        <v>0</v>
      </c>
      <c r="AA36" s="54">
        <f t="shared" si="6"/>
        <v>0</v>
      </c>
      <c r="AB36" s="54">
        <f t="shared" si="0"/>
        <v>1408.8</v>
      </c>
      <c r="AC36" s="68"/>
      <c r="AD36" s="68"/>
    </row>
    <row r="37" spans="1:30" s="41" customFormat="1" ht="32.25" customHeight="1">
      <c r="A37" s="35">
        <v>30</v>
      </c>
      <c r="B37" s="36" t="s">
        <v>27</v>
      </c>
      <c r="C37" s="79">
        <v>6</v>
      </c>
      <c r="D37" s="37"/>
      <c r="E37" s="37"/>
      <c r="F37" s="37"/>
      <c r="G37" s="37"/>
      <c r="H37" s="37"/>
      <c r="I37" s="37"/>
      <c r="J37" s="37"/>
      <c r="K37" s="113">
        <v>30471</v>
      </c>
      <c r="L37" s="113">
        <v>33645</v>
      </c>
      <c r="M37" s="113">
        <v>33645</v>
      </c>
      <c r="N37" s="113">
        <v>30471</v>
      </c>
      <c r="O37" s="113">
        <v>427532</v>
      </c>
      <c r="P37" s="113">
        <v>427532</v>
      </c>
      <c r="Q37" s="113">
        <v>427532</v>
      </c>
      <c r="R37" s="77"/>
      <c r="S37" s="76">
        <v>1</v>
      </c>
      <c r="T37" s="81">
        <v>0.91</v>
      </c>
      <c r="U37" s="54">
        <f t="shared" si="7"/>
        <v>0</v>
      </c>
      <c r="V37" s="54">
        <f t="shared" si="1"/>
        <v>0</v>
      </c>
      <c r="W37" s="54">
        <f t="shared" si="2"/>
        <v>0</v>
      </c>
      <c r="X37" s="54">
        <f t="shared" si="3"/>
        <v>0</v>
      </c>
      <c r="Y37" s="54">
        <f t="shared" si="4"/>
        <v>0</v>
      </c>
      <c r="Z37" s="54">
        <f t="shared" si="5"/>
        <v>0</v>
      </c>
      <c r="AA37" s="54">
        <f t="shared" si="6"/>
        <v>0</v>
      </c>
      <c r="AB37" s="54">
        <f t="shared" si="0"/>
        <v>0</v>
      </c>
      <c r="AC37" s="68"/>
      <c r="AD37" s="68"/>
    </row>
    <row r="38" spans="1:30" s="41" customFormat="1" ht="15.75">
      <c r="A38" s="44">
        <v>31</v>
      </c>
      <c r="B38" s="36" t="s">
        <v>28</v>
      </c>
      <c r="C38" s="79">
        <v>5</v>
      </c>
      <c r="D38" s="37">
        <v>15</v>
      </c>
      <c r="E38" s="37"/>
      <c r="F38" s="37"/>
      <c r="G38" s="37"/>
      <c r="H38" s="37"/>
      <c r="I38" s="37"/>
      <c r="J38" s="37"/>
      <c r="K38" s="113">
        <v>27956</v>
      </c>
      <c r="L38" s="113">
        <v>30286</v>
      </c>
      <c r="M38" s="113">
        <v>30286</v>
      </c>
      <c r="N38" s="113">
        <v>27956</v>
      </c>
      <c r="O38" s="113">
        <v>427532</v>
      </c>
      <c r="P38" s="113">
        <v>427532</v>
      </c>
      <c r="Q38" s="113">
        <v>427532</v>
      </c>
      <c r="R38" s="77">
        <v>3.333</v>
      </c>
      <c r="S38" s="76">
        <v>1</v>
      </c>
      <c r="T38" s="81">
        <v>0.985</v>
      </c>
      <c r="U38" s="54">
        <f>ROUND(K38*D38*R38*T38/1000*S38,1)+0.8</f>
        <v>1377.5</v>
      </c>
      <c r="V38" s="54">
        <f t="shared" si="1"/>
        <v>0</v>
      </c>
      <c r="W38" s="54">
        <f t="shared" si="2"/>
        <v>0</v>
      </c>
      <c r="X38" s="54">
        <f t="shared" si="3"/>
        <v>0</v>
      </c>
      <c r="Y38" s="54">
        <f t="shared" si="4"/>
        <v>0</v>
      </c>
      <c r="Z38" s="54">
        <f t="shared" si="5"/>
        <v>0</v>
      </c>
      <c r="AA38" s="54">
        <f t="shared" si="6"/>
        <v>0</v>
      </c>
      <c r="AB38" s="54">
        <f t="shared" si="0"/>
        <v>1377.5</v>
      </c>
      <c r="AC38" s="68"/>
      <c r="AD38" s="68"/>
    </row>
    <row r="39" spans="1:30" s="41" customFormat="1" ht="15.75">
      <c r="A39" s="35">
        <v>32</v>
      </c>
      <c r="B39" s="36" t="s">
        <v>29</v>
      </c>
      <c r="C39" s="79">
        <v>5</v>
      </c>
      <c r="D39" s="37"/>
      <c r="E39" s="37"/>
      <c r="F39" s="37"/>
      <c r="G39" s="37"/>
      <c r="H39" s="37"/>
      <c r="I39" s="37"/>
      <c r="J39" s="37"/>
      <c r="K39" s="113">
        <v>27956</v>
      </c>
      <c r="L39" s="113">
        <v>30286</v>
      </c>
      <c r="M39" s="113">
        <v>30286</v>
      </c>
      <c r="N39" s="113">
        <v>27956</v>
      </c>
      <c r="O39" s="113">
        <v>427532</v>
      </c>
      <c r="P39" s="113">
        <v>427532</v>
      </c>
      <c r="Q39" s="113">
        <v>427532</v>
      </c>
      <c r="R39" s="77"/>
      <c r="S39" s="76">
        <v>1</v>
      </c>
      <c r="T39" s="81">
        <v>0.761</v>
      </c>
      <c r="U39" s="54">
        <f t="shared" si="7"/>
        <v>0</v>
      </c>
      <c r="V39" s="54">
        <f t="shared" si="1"/>
        <v>0</v>
      </c>
      <c r="W39" s="54">
        <f t="shared" si="2"/>
        <v>0</v>
      </c>
      <c r="X39" s="54">
        <f t="shared" si="3"/>
        <v>0</v>
      </c>
      <c r="Y39" s="54">
        <f t="shared" si="4"/>
        <v>0</v>
      </c>
      <c r="Z39" s="54">
        <f t="shared" si="5"/>
        <v>0</v>
      </c>
      <c r="AA39" s="54">
        <f t="shared" si="6"/>
        <v>0</v>
      </c>
      <c r="AB39" s="54">
        <f t="shared" si="0"/>
        <v>0</v>
      </c>
      <c r="AC39" s="68"/>
      <c r="AD39" s="68"/>
    </row>
    <row r="40" spans="1:30" s="41" customFormat="1" ht="15.75">
      <c r="A40" s="35">
        <v>33</v>
      </c>
      <c r="B40" s="36" t="s">
        <v>30</v>
      </c>
      <c r="C40" s="79">
        <v>6</v>
      </c>
      <c r="D40" s="37"/>
      <c r="E40" s="37"/>
      <c r="F40" s="37"/>
      <c r="G40" s="37"/>
      <c r="H40" s="37"/>
      <c r="I40" s="37"/>
      <c r="J40" s="37"/>
      <c r="K40" s="113">
        <v>30471</v>
      </c>
      <c r="L40" s="113">
        <v>33645</v>
      </c>
      <c r="M40" s="113">
        <v>33645</v>
      </c>
      <c r="N40" s="113">
        <v>30471</v>
      </c>
      <c r="O40" s="113">
        <v>427532</v>
      </c>
      <c r="P40" s="113">
        <v>427532</v>
      </c>
      <c r="Q40" s="113">
        <v>427532</v>
      </c>
      <c r="R40" s="77"/>
      <c r="S40" s="76">
        <v>1</v>
      </c>
      <c r="T40" s="81">
        <v>0.663</v>
      </c>
      <c r="U40" s="54">
        <f t="shared" si="7"/>
        <v>0</v>
      </c>
      <c r="V40" s="54">
        <f t="shared" si="1"/>
        <v>0</v>
      </c>
      <c r="W40" s="54">
        <f t="shared" si="2"/>
        <v>0</v>
      </c>
      <c r="X40" s="54">
        <f t="shared" si="3"/>
        <v>0</v>
      </c>
      <c r="Y40" s="54">
        <f t="shared" si="4"/>
        <v>0</v>
      </c>
      <c r="Z40" s="54">
        <f t="shared" si="5"/>
        <v>0</v>
      </c>
      <c r="AA40" s="54">
        <f t="shared" si="6"/>
        <v>0</v>
      </c>
      <c r="AB40" s="54">
        <f t="shared" si="0"/>
        <v>0</v>
      </c>
      <c r="AC40" s="68"/>
      <c r="AD40" s="68"/>
    </row>
    <row r="41" spans="1:30" s="41" customFormat="1" ht="15.75">
      <c r="A41" s="44">
        <v>34</v>
      </c>
      <c r="B41" s="36" t="s">
        <v>31</v>
      </c>
      <c r="C41" s="79">
        <v>5</v>
      </c>
      <c r="D41" s="37">
        <v>13</v>
      </c>
      <c r="E41" s="37"/>
      <c r="F41" s="37"/>
      <c r="G41" s="37"/>
      <c r="H41" s="37"/>
      <c r="I41" s="37"/>
      <c r="J41" s="37"/>
      <c r="K41" s="113">
        <v>27956</v>
      </c>
      <c r="L41" s="113">
        <v>30286</v>
      </c>
      <c r="M41" s="113">
        <v>30286</v>
      </c>
      <c r="N41" s="113">
        <v>27956</v>
      </c>
      <c r="O41" s="113">
        <v>427532</v>
      </c>
      <c r="P41" s="113">
        <v>427532</v>
      </c>
      <c r="Q41" s="113">
        <v>427532</v>
      </c>
      <c r="R41" s="77">
        <v>3.846</v>
      </c>
      <c r="S41" s="76">
        <v>1.014</v>
      </c>
      <c r="T41" s="81">
        <v>1</v>
      </c>
      <c r="U41" s="54">
        <f>ROUND(K41*D41*R41*T41/1000*S41,1)-2.9</f>
        <v>1414.3999999999999</v>
      </c>
      <c r="V41" s="54">
        <f t="shared" si="1"/>
        <v>0</v>
      </c>
      <c r="W41" s="54">
        <f t="shared" si="2"/>
        <v>0</v>
      </c>
      <c r="X41" s="54">
        <f t="shared" si="3"/>
        <v>0</v>
      </c>
      <c r="Y41" s="54">
        <f t="shared" si="4"/>
        <v>0</v>
      </c>
      <c r="Z41" s="54">
        <f t="shared" si="5"/>
        <v>0</v>
      </c>
      <c r="AA41" s="54">
        <f t="shared" si="6"/>
        <v>0</v>
      </c>
      <c r="AB41" s="54">
        <f t="shared" si="0"/>
        <v>1414.3999999999999</v>
      </c>
      <c r="AC41" s="68"/>
      <c r="AD41" s="68"/>
    </row>
    <row r="42" spans="1:30" s="41" customFormat="1" ht="22.5" customHeight="1">
      <c r="A42" s="35">
        <v>35</v>
      </c>
      <c r="B42" s="36" t="s">
        <v>32</v>
      </c>
      <c r="C42" s="79">
        <v>5</v>
      </c>
      <c r="D42" s="37">
        <v>14</v>
      </c>
      <c r="E42" s="37"/>
      <c r="F42" s="37"/>
      <c r="G42" s="37"/>
      <c r="H42" s="37"/>
      <c r="I42" s="37"/>
      <c r="J42" s="37"/>
      <c r="K42" s="113">
        <v>27956</v>
      </c>
      <c r="L42" s="113">
        <v>30286</v>
      </c>
      <c r="M42" s="113">
        <v>30286</v>
      </c>
      <c r="N42" s="113">
        <v>27956</v>
      </c>
      <c r="O42" s="113">
        <v>427532</v>
      </c>
      <c r="P42" s="113">
        <v>427532</v>
      </c>
      <c r="Q42" s="113">
        <v>427532</v>
      </c>
      <c r="R42" s="77">
        <v>3.571</v>
      </c>
      <c r="S42" s="76">
        <v>1.122</v>
      </c>
      <c r="T42" s="81">
        <v>1</v>
      </c>
      <c r="U42" s="54">
        <f>ROUND(K42*D42*R42*T42/1000*S42,1)+4.1</f>
        <v>1572.1999999999998</v>
      </c>
      <c r="V42" s="54">
        <f t="shared" si="1"/>
        <v>0</v>
      </c>
      <c r="W42" s="54">
        <f t="shared" si="2"/>
        <v>0</v>
      </c>
      <c r="X42" s="54">
        <f t="shared" si="3"/>
        <v>0</v>
      </c>
      <c r="Y42" s="54">
        <f t="shared" si="4"/>
        <v>0</v>
      </c>
      <c r="Z42" s="54">
        <f t="shared" si="5"/>
        <v>0</v>
      </c>
      <c r="AA42" s="54">
        <f t="shared" si="6"/>
        <v>0</v>
      </c>
      <c r="AB42" s="54">
        <f t="shared" si="0"/>
        <v>1572.1999999999998</v>
      </c>
      <c r="AC42" s="68"/>
      <c r="AD42" s="68"/>
    </row>
    <row r="43" spans="1:30" s="41" customFormat="1" ht="21.75" customHeight="1">
      <c r="A43" s="35">
        <v>36</v>
      </c>
      <c r="B43" s="36" t="s">
        <v>33</v>
      </c>
      <c r="C43" s="79">
        <v>5</v>
      </c>
      <c r="D43" s="37">
        <v>4</v>
      </c>
      <c r="E43" s="37"/>
      <c r="F43" s="37"/>
      <c r="G43" s="37">
        <v>1</v>
      </c>
      <c r="H43" s="37"/>
      <c r="I43" s="37"/>
      <c r="J43" s="37"/>
      <c r="K43" s="113">
        <v>27956</v>
      </c>
      <c r="L43" s="113">
        <v>30286</v>
      </c>
      <c r="M43" s="113">
        <v>30286</v>
      </c>
      <c r="N43" s="113">
        <v>27956</v>
      </c>
      <c r="O43" s="113">
        <v>427532</v>
      </c>
      <c r="P43" s="113">
        <v>427532</v>
      </c>
      <c r="Q43" s="113">
        <v>427532</v>
      </c>
      <c r="R43" s="77">
        <v>5</v>
      </c>
      <c r="S43" s="76">
        <v>1</v>
      </c>
      <c r="T43" s="81">
        <v>0.923</v>
      </c>
      <c r="U43" s="54">
        <f>ROUND(K43*D43*R43*T43/1000*S43,1)+1.9</f>
        <v>518</v>
      </c>
      <c r="V43" s="54">
        <f t="shared" si="1"/>
        <v>0</v>
      </c>
      <c r="W43" s="54">
        <f t="shared" si="2"/>
        <v>0</v>
      </c>
      <c r="X43" s="54">
        <f t="shared" si="3"/>
        <v>129</v>
      </c>
      <c r="Y43" s="54">
        <f t="shared" si="4"/>
        <v>0</v>
      </c>
      <c r="Z43" s="54">
        <f t="shared" si="5"/>
        <v>0</v>
      </c>
      <c r="AA43" s="54">
        <f t="shared" si="6"/>
        <v>0</v>
      </c>
      <c r="AB43" s="54">
        <f t="shared" si="0"/>
        <v>647</v>
      </c>
      <c r="AC43" s="68"/>
      <c r="AD43" s="68"/>
    </row>
    <row r="44" spans="1:30" s="41" customFormat="1" ht="21" customHeight="1">
      <c r="A44" s="44">
        <v>37</v>
      </c>
      <c r="B44" s="36" t="s">
        <v>34</v>
      </c>
      <c r="C44" s="79">
        <v>6</v>
      </c>
      <c r="D44" s="37"/>
      <c r="E44" s="37"/>
      <c r="F44" s="37"/>
      <c r="G44" s="37"/>
      <c r="H44" s="37"/>
      <c r="I44" s="37"/>
      <c r="J44" s="37"/>
      <c r="K44" s="113">
        <v>30471</v>
      </c>
      <c r="L44" s="113">
        <v>33645</v>
      </c>
      <c r="M44" s="113">
        <v>33645</v>
      </c>
      <c r="N44" s="113">
        <v>30471</v>
      </c>
      <c r="O44" s="113">
        <v>427532</v>
      </c>
      <c r="P44" s="113">
        <v>427532</v>
      </c>
      <c r="Q44" s="113">
        <v>427532</v>
      </c>
      <c r="R44" s="77"/>
      <c r="S44" s="76">
        <v>1</v>
      </c>
      <c r="T44" s="81">
        <v>0.831</v>
      </c>
      <c r="U44" s="54">
        <f t="shared" si="7"/>
        <v>0</v>
      </c>
      <c r="V44" s="54">
        <f t="shared" si="1"/>
        <v>0</v>
      </c>
      <c r="W44" s="54">
        <f t="shared" si="2"/>
        <v>0</v>
      </c>
      <c r="X44" s="54">
        <f t="shared" si="3"/>
        <v>0</v>
      </c>
      <c r="Y44" s="54">
        <f t="shared" si="4"/>
        <v>0</v>
      </c>
      <c r="Z44" s="54">
        <f t="shared" si="5"/>
        <v>0</v>
      </c>
      <c r="AA44" s="54">
        <f t="shared" si="6"/>
        <v>0</v>
      </c>
      <c r="AB44" s="54">
        <f t="shared" si="0"/>
        <v>0</v>
      </c>
      <c r="AC44" s="68"/>
      <c r="AD44" s="68"/>
    </row>
    <row r="45" spans="1:30" s="41" customFormat="1" ht="31.5">
      <c r="A45" s="35">
        <v>38</v>
      </c>
      <c r="B45" s="36" t="s">
        <v>35</v>
      </c>
      <c r="C45" s="79">
        <v>5</v>
      </c>
      <c r="D45" s="37"/>
      <c r="E45" s="37"/>
      <c r="F45" s="37"/>
      <c r="G45" s="37"/>
      <c r="H45" s="37"/>
      <c r="I45" s="37"/>
      <c r="J45" s="37"/>
      <c r="K45" s="113">
        <v>27956</v>
      </c>
      <c r="L45" s="113">
        <v>30286</v>
      </c>
      <c r="M45" s="113">
        <v>30286</v>
      </c>
      <c r="N45" s="113">
        <v>27956</v>
      </c>
      <c r="O45" s="113">
        <v>427532</v>
      </c>
      <c r="P45" s="113">
        <v>427532</v>
      </c>
      <c r="Q45" s="113">
        <v>427532</v>
      </c>
      <c r="R45" s="77"/>
      <c r="S45" s="76">
        <v>1</v>
      </c>
      <c r="T45" s="81">
        <v>0.954</v>
      </c>
      <c r="U45" s="54">
        <f t="shared" si="7"/>
        <v>0</v>
      </c>
      <c r="V45" s="54">
        <f t="shared" si="1"/>
        <v>0</v>
      </c>
      <c r="W45" s="54">
        <f t="shared" si="2"/>
        <v>0</v>
      </c>
      <c r="X45" s="54">
        <f t="shared" si="3"/>
        <v>0</v>
      </c>
      <c r="Y45" s="54">
        <f t="shared" si="4"/>
        <v>0</v>
      </c>
      <c r="Z45" s="54">
        <f t="shared" si="5"/>
        <v>0</v>
      </c>
      <c r="AA45" s="54">
        <f t="shared" si="6"/>
        <v>0</v>
      </c>
      <c r="AB45" s="54">
        <f t="shared" si="0"/>
        <v>0</v>
      </c>
      <c r="AC45" s="68"/>
      <c r="AD45" s="68"/>
    </row>
    <row r="46" spans="1:30" s="41" customFormat="1" ht="16.5" thickBot="1">
      <c r="A46" s="35">
        <v>39</v>
      </c>
      <c r="B46" s="49" t="s">
        <v>36</v>
      </c>
      <c r="C46" s="79">
        <v>5</v>
      </c>
      <c r="D46" s="37"/>
      <c r="E46" s="37"/>
      <c r="F46" s="37"/>
      <c r="G46" s="37"/>
      <c r="H46" s="37"/>
      <c r="I46" s="37"/>
      <c r="J46" s="37"/>
      <c r="K46" s="113">
        <v>27956</v>
      </c>
      <c r="L46" s="113">
        <v>30286</v>
      </c>
      <c r="M46" s="113">
        <v>30286</v>
      </c>
      <c r="N46" s="113">
        <v>27956</v>
      </c>
      <c r="O46" s="113">
        <v>427532</v>
      </c>
      <c r="P46" s="113">
        <v>427532</v>
      </c>
      <c r="Q46" s="113">
        <v>427532</v>
      </c>
      <c r="R46" s="77"/>
      <c r="S46" s="76">
        <v>1</v>
      </c>
      <c r="T46" s="81">
        <v>0.85</v>
      </c>
      <c r="U46" s="54">
        <f t="shared" si="7"/>
        <v>0</v>
      </c>
      <c r="V46" s="54">
        <f t="shared" si="1"/>
        <v>0</v>
      </c>
      <c r="W46" s="54">
        <f t="shared" si="2"/>
        <v>0</v>
      </c>
      <c r="X46" s="54">
        <f t="shared" si="3"/>
        <v>0</v>
      </c>
      <c r="Y46" s="54">
        <f t="shared" si="4"/>
        <v>0</v>
      </c>
      <c r="Z46" s="54">
        <f t="shared" si="5"/>
        <v>0</v>
      </c>
      <c r="AA46" s="54">
        <f t="shared" si="6"/>
        <v>0</v>
      </c>
      <c r="AB46" s="54">
        <f t="shared" si="0"/>
        <v>0</v>
      </c>
      <c r="AC46" s="68"/>
      <c r="AD46" s="68"/>
    </row>
    <row r="47" spans="1:30" s="41" customFormat="1" ht="48" thickBot="1">
      <c r="A47" s="50"/>
      <c r="B47" s="80" t="s">
        <v>77</v>
      </c>
      <c r="C47" s="51"/>
      <c r="D47" s="52">
        <f aca="true" t="shared" si="8" ref="D47:J47">SUM(D8:D46)</f>
        <v>419</v>
      </c>
      <c r="E47" s="52">
        <f t="shared" si="8"/>
        <v>166</v>
      </c>
      <c r="F47" s="52">
        <f t="shared" si="8"/>
        <v>3</v>
      </c>
      <c r="G47" s="52">
        <f t="shared" si="8"/>
        <v>2</v>
      </c>
      <c r="H47" s="52">
        <f t="shared" si="8"/>
        <v>4</v>
      </c>
      <c r="I47" s="52">
        <f t="shared" si="8"/>
        <v>2</v>
      </c>
      <c r="J47" s="52">
        <f t="shared" si="8"/>
        <v>1</v>
      </c>
      <c r="K47" s="52"/>
      <c r="L47" s="52"/>
      <c r="M47" s="52"/>
      <c r="N47" s="52"/>
      <c r="O47" s="52"/>
      <c r="P47" s="52"/>
      <c r="Q47" s="53"/>
      <c r="R47" s="78"/>
      <c r="S47" s="78"/>
      <c r="T47" s="78"/>
      <c r="U47" s="54">
        <f aca="true" t="shared" si="9" ref="U47:AB47">SUM(U8:U46)</f>
        <v>26105.6</v>
      </c>
      <c r="V47" s="54">
        <f t="shared" si="9"/>
        <v>7263.3</v>
      </c>
      <c r="W47" s="54">
        <f t="shared" si="9"/>
        <v>100.9</v>
      </c>
      <c r="X47" s="54">
        <f t="shared" si="9"/>
        <v>157.5</v>
      </c>
      <c r="Y47" s="54">
        <f t="shared" si="9"/>
        <v>2373.1</v>
      </c>
      <c r="Z47" s="54">
        <f t="shared" si="9"/>
        <v>976.5</v>
      </c>
      <c r="AA47" s="54">
        <f t="shared" si="9"/>
        <v>519.4</v>
      </c>
      <c r="AB47" s="54">
        <f t="shared" si="9"/>
        <v>37496.299999999996</v>
      </c>
      <c r="AC47" s="68"/>
      <c r="AD47" s="68"/>
    </row>
    <row r="48" spans="1:30" s="6" customFormat="1" ht="18" customHeight="1">
      <c r="A48" s="9"/>
      <c r="B48" s="10"/>
      <c r="C48" s="10"/>
      <c r="D48" s="10">
        <f>SUM(D47:J47)</f>
        <v>597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AB48" s="55">
        <f>SUM(U47:AA47)</f>
        <v>37496.3</v>
      </c>
      <c r="AC48" s="67"/>
      <c r="AD48" s="67"/>
    </row>
    <row r="49" spans="1:30" s="6" customFormat="1" ht="15.75">
      <c r="A49" s="12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AB49" s="61">
        <v>36184.4</v>
      </c>
      <c r="AC49" s="67"/>
      <c r="AD49" s="67"/>
    </row>
    <row r="50" spans="1:30" s="6" customFormat="1" ht="15.75">
      <c r="A50" s="12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AC50" s="67"/>
      <c r="AD50" s="67"/>
    </row>
    <row r="51" spans="1:30" s="6" customFormat="1" ht="15.75">
      <c r="A51" s="12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AB51" s="56"/>
      <c r="AC51" s="67"/>
      <c r="AD51" s="67"/>
    </row>
    <row r="52" spans="1:30" s="6" customFormat="1" ht="15.75">
      <c r="A52" s="12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AC52" s="67"/>
      <c r="AD52" s="67"/>
    </row>
    <row r="53" spans="1:30" s="6" customFormat="1" ht="15.75">
      <c r="A53" s="12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AC53" s="67"/>
      <c r="AD53" s="67"/>
    </row>
    <row r="54" spans="1:30" s="6" customFormat="1" ht="15.75">
      <c r="A54" s="12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AC54" s="67"/>
      <c r="AD54" s="67"/>
    </row>
    <row r="55" spans="1:30" s="6" customFormat="1" ht="16.5" customHeight="1">
      <c r="A55" s="12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AC55" s="67"/>
      <c r="AD55" s="67"/>
    </row>
    <row r="56" spans="1:30" s="6" customFormat="1" ht="15.75">
      <c r="A56" s="12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67"/>
      <c r="AD56" s="67"/>
    </row>
    <row r="57" spans="1:30" s="6" customFormat="1" ht="15.75">
      <c r="A57" s="12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AC57" s="67"/>
      <c r="AD57" s="67"/>
    </row>
    <row r="58" spans="1:30" s="6" customFormat="1" ht="15.75">
      <c r="A58" s="12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AC58" s="67"/>
      <c r="AD58" s="67"/>
    </row>
    <row r="59" spans="1:30" s="6" customFormat="1" ht="15.75">
      <c r="A59" s="12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AC59" s="67"/>
      <c r="AD59" s="67"/>
    </row>
    <row r="60" spans="1:30" s="6" customFormat="1" ht="15.75">
      <c r="A60" s="12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AC60" s="67"/>
      <c r="AD60" s="67"/>
    </row>
    <row r="61" spans="1:30" s="6" customFormat="1" ht="15.75">
      <c r="A61" s="12"/>
      <c r="B61" s="16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AC61" s="67"/>
      <c r="AD61" s="67"/>
    </row>
    <row r="62" spans="1:30" s="18" customFormat="1" ht="16.5" customHeight="1">
      <c r="A62" s="145"/>
      <c r="B62" s="145"/>
      <c r="C62" s="145"/>
      <c r="D62" s="145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AC62" s="69"/>
      <c r="AD62" s="69"/>
    </row>
    <row r="63" spans="1:20" ht="15.75">
      <c r="A63" s="12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.75">
      <c r="A64" s="12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.75">
      <c r="A65" s="12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.75">
      <c r="A66" s="12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8" customHeight="1">
      <c r="A67" s="12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.75">
      <c r="A68" s="12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.75">
      <c r="A69" s="12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.75">
      <c r="A70" s="12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.75">
      <c r="A71" s="12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5.75">
      <c r="A72" s="12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15.75">
      <c r="A73" s="12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15.75">
      <c r="A74" s="12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15.75">
      <c r="A75" s="12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15.75">
      <c r="A76" s="12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5.75">
      <c r="A77" s="12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5.75">
      <c r="A78" s="12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15.75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15.75">
      <c r="A80" s="12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5.75">
      <c r="A81" s="12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15.75">
      <c r="A82" s="12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5.75">
      <c r="A83" s="12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15.75">
      <c r="A84" s="12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15.75">
      <c r="A85" s="12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15.75">
      <c r="A86" s="12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5.75">
      <c r="A87" s="12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15.75">
      <c r="A88" s="12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5.75">
      <c r="A89" s="12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5.75">
      <c r="A90" s="12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5.75">
      <c r="A91" s="12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5.75">
      <c r="A92" s="12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15.75">
      <c r="A93" s="12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15.75">
      <c r="A94" s="12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5.75">
      <c r="A95" s="12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5.75">
      <c r="A96" s="12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15.75">
      <c r="A97" s="12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15.75">
      <c r="A98" s="12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15.75">
      <c r="A99" s="12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15.75">
      <c r="A100" s="12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15.75">
      <c r="A101" s="12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5.75">
      <c r="A102" s="12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15.75">
      <c r="A103" s="12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15.75">
      <c r="A104" s="12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15.75">
      <c r="A105" s="12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15.75">
      <c r="A106" s="12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15.75">
      <c r="A107" s="20"/>
      <c r="B107" s="21"/>
      <c r="C107" s="21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 ht="18.75">
      <c r="A108" s="22"/>
      <c r="B108" s="22"/>
      <c r="C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 ht="15.75">
      <c r="A109" s="20"/>
      <c r="B109" s="20"/>
      <c r="C109" s="20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</sheetData>
  <sheetProtection/>
  <mergeCells count="17">
    <mergeCell ref="K3:Q4"/>
    <mergeCell ref="R3:R7"/>
    <mergeCell ref="T3:T7"/>
    <mergeCell ref="U3:AB4"/>
    <mergeCell ref="AC5:AC7"/>
    <mergeCell ref="AC4:AD4"/>
    <mergeCell ref="AD5:AD7"/>
    <mergeCell ref="A62:D62"/>
    <mergeCell ref="K5:Q5"/>
    <mergeCell ref="U5:AA5"/>
    <mergeCell ref="AB5:AB7"/>
    <mergeCell ref="D4:J4"/>
    <mergeCell ref="A3:A7"/>
    <mergeCell ref="B3:B5"/>
    <mergeCell ref="C3:C7"/>
    <mergeCell ref="B6:B7"/>
    <mergeCell ref="D3:J3"/>
  </mergeCells>
  <printOptions horizontalCentered="1"/>
  <pageMargins left="0" right="0" top="0" bottom="0" header="0" footer="0"/>
  <pageSetup horizontalDpi="600" verticalDpi="600" orientation="landscape" paperSize="9" scale="44" r:id="rId1"/>
  <rowBreaks count="1" manualBreakCount="1">
    <brk id="47" max="255" man="1"/>
  </rowBreaks>
  <colBreaks count="1" manualBreakCount="1">
    <brk id="14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8"/>
  <sheetViews>
    <sheetView view="pageBreakPreview" zoomScale="71" zoomScaleNormal="74" zoomScaleSheetLayoutView="71" zoomScalePageLayoutView="0" workbookViewId="0" topLeftCell="A10">
      <selection activeCell="K10" sqref="K1:K16384"/>
    </sheetView>
  </sheetViews>
  <sheetFormatPr defaultColWidth="9.140625" defaultRowHeight="12.75"/>
  <cols>
    <col min="1" max="1" width="9.00390625" style="4" customWidth="1"/>
    <col min="2" max="2" width="36.140625" style="4" customWidth="1"/>
    <col min="3" max="3" width="21.7109375" style="19" customWidth="1"/>
    <col min="4" max="4" width="23.00390625" style="19" customWidth="1"/>
    <col min="5" max="5" width="20.57421875" style="19" customWidth="1"/>
    <col min="6" max="6" width="22.7109375" style="19" customWidth="1"/>
    <col min="7" max="7" width="23.8515625" style="19" customWidth="1"/>
    <col min="8" max="8" width="23.28125" style="19" customWidth="1"/>
    <col min="9" max="9" width="21.28125" style="19" customWidth="1"/>
    <col min="10" max="10" width="24.00390625" style="19" customWidth="1"/>
    <col min="11" max="11" width="9.57421875" style="19" bestFit="1" customWidth="1"/>
    <col min="12" max="16384" width="9.140625" style="19" customWidth="1"/>
  </cols>
  <sheetData>
    <row r="1" spans="1:10" s="6" customFormat="1" ht="18.75">
      <c r="A1" s="166"/>
      <c r="B1" s="166"/>
      <c r="C1" s="166"/>
      <c r="D1" s="166"/>
      <c r="E1" s="166"/>
      <c r="J1" s="6" t="s">
        <v>90</v>
      </c>
    </row>
    <row r="2" spans="1:10" s="83" customFormat="1" ht="15.75">
      <c r="A2" s="152" t="s">
        <v>81</v>
      </c>
      <c r="B2" s="143" t="s">
        <v>74</v>
      </c>
      <c r="C2" s="157" t="s">
        <v>76</v>
      </c>
      <c r="D2" s="157"/>
      <c r="E2" s="157"/>
      <c r="F2" s="157"/>
      <c r="G2" s="157"/>
      <c r="H2" s="157"/>
      <c r="I2" s="156" t="s">
        <v>70</v>
      </c>
      <c r="J2" s="156" t="s">
        <v>80</v>
      </c>
    </row>
    <row r="3" spans="1:10" s="83" customFormat="1" ht="36.75" customHeight="1">
      <c r="A3" s="153"/>
      <c r="B3" s="144"/>
      <c r="C3" s="157"/>
      <c r="D3" s="157"/>
      <c r="E3" s="157"/>
      <c r="F3" s="157"/>
      <c r="G3" s="157"/>
      <c r="H3" s="157"/>
      <c r="I3" s="156"/>
      <c r="J3" s="156"/>
    </row>
    <row r="4" spans="1:10" s="83" customFormat="1" ht="62.25" customHeight="1">
      <c r="A4" s="153"/>
      <c r="B4" s="144"/>
      <c r="C4" s="164" t="s">
        <v>45</v>
      </c>
      <c r="D4" s="165"/>
      <c r="E4" s="165"/>
      <c r="F4" s="165"/>
      <c r="G4" s="165"/>
      <c r="H4" s="165"/>
      <c r="I4" s="156"/>
      <c r="J4" s="156"/>
    </row>
    <row r="5" spans="1:10" s="83" customFormat="1" ht="65.25" customHeight="1">
      <c r="A5" s="153"/>
      <c r="B5" s="142" t="s">
        <v>73</v>
      </c>
      <c r="C5" s="86" t="s">
        <v>47</v>
      </c>
      <c r="D5" s="87" t="s">
        <v>48</v>
      </c>
      <c r="E5" s="86" t="s">
        <v>49</v>
      </c>
      <c r="F5" s="86" t="s">
        <v>54</v>
      </c>
      <c r="G5" s="86" t="s">
        <v>55</v>
      </c>
      <c r="H5" s="110" t="s">
        <v>50</v>
      </c>
      <c r="I5" s="156"/>
      <c r="J5" s="156"/>
    </row>
    <row r="6" spans="1:10" s="83" customFormat="1" ht="85.5" customHeight="1">
      <c r="A6" s="154"/>
      <c r="B6" s="142"/>
      <c r="C6" s="84" t="s">
        <v>43</v>
      </c>
      <c r="D6" s="84" t="s">
        <v>43</v>
      </c>
      <c r="E6" s="84" t="s">
        <v>43</v>
      </c>
      <c r="F6" s="84" t="s">
        <v>43</v>
      </c>
      <c r="G6" s="84" t="s">
        <v>43</v>
      </c>
      <c r="H6" s="88" t="s">
        <v>43</v>
      </c>
      <c r="I6" s="156"/>
      <c r="J6" s="156"/>
    </row>
    <row r="7" spans="1:11" s="6" customFormat="1" ht="15.75">
      <c r="A7" s="26">
        <v>1</v>
      </c>
      <c r="B7" s="27" t="s">
        <v>0</v>
      </c>
      <c r="C7" s="123">
        <v>5610</v>
      </c>
      <c r="D7" s="124">
        <v>1020</v>
      </c>
      <c r="E7" s="125">
        <v>2040</v>
      </c>
      <c r="F7" s="126"/>
      <c r="G7" s="126">
        <v>3060</v>
      </c>
      <c r="H7" s="28"/>
      <c r="I7" s="127">
        <v>21</v>
      </c>
      <c r="J7" s="58">
        <f>ROUND((C7+D7+E7+F7+G7+H7)*I7/1000,1)-5.1</f>
        <v>241.20000000000002</v>
      </c>
      <c r="K7" s="3"/>
    </row>
    <row r="8" spans="1:11" s="6" customFormat="1" ht="15.75">
      <c r="A8" s="29">
        <v>2</v>
      </c>
      <c r="B8" s="27" t="s">
        <v>60</v>
      </c>
      <c r="C8" s="28">
        <v>2625</v>
      </c>
      <c r="D8" s="126">
        <v>3675</v>
      </c>
      <c r="E8" s="125">
        <v>1575</v>
      </c>
      <c r="F8" s="126"/>
      <c r="G8" s="126">
        <v>5250</v>
      </c>
      <c r="H8" s="28">
        <v>1050</v>
      </c>
      <c r="I8" s="127">
        <v>21</v>
      </c>
      <c r="J8" s="58">
        <f>ROUND((C8+D8+E8+F8+G8+H8)*I8/1000,1)+6.2</f>
        <v>303.9</v>
      </c>
      <c r="K8" s="3"/>
    </row>
    <row r="9" spans="1:11" s="6" customFormat="1" ht="15.75">
      <c r="A9" s="29">
        <v>3</v>
      </c>
      <c r="B9" s="27" t="s">
        <v>1</v>
      </c>
      <c r="C9" s="28">
        <v>4200</v>
      </c>
      <c r="D9" s="126"/>
      <c r="E9" s="125">
        <v>1050</v>
      </c>
      <c r="F9" s="126">
        <v>2625</v>
      </c>
      <c r="G9" s="126">
        <v>3675</v>
      </c>
      <c r="H9" s="28">
        <v>2100</v>
      </c>
      <c r="I9" s="127">
        <v>21</v>
      </c>
      <c r="J9" s="58">
        <f>ROUND((C9+D9+E9+F9+G9+H9)*I9/1000,1)+10.9</f>
        <v>297.59999999999997</v>
      </c>
      <c r="K9" s="3"/>
    </row>
    <row r="10" spans="1:11" s="6" customFormat="1" ht="15.75">
      <c r="A10" s="29">
        <v>4</v>
      </c>
      <c r="B10" s="27" t="s">
        <v>2</v>
      </c>
      <c r="C10" s="128">
        <v>1050</v>
      </c>
      <c r="D10" s="129">
        <v>1050</v>
      </c>
      <c r="E10" s="130">
        <v>1575</v>
      </c>
      <c r="F10" s="129"/>
      <c r="G10" s="129">
        <v>1920</v>
      </c>
      <c r="H10" s="128">
        <v>720</v>
      </c>
      <c r="I10" s="127">
        <v>21</v>
      </c>
      <c r="J10" s="58">
        <f>ROUND((C10+D10+E10+F10+G10+H10)*I10/1000,1)+5.5</f>
        <v>138.1</v>
      </c>
      <c r="K10" s="3"/>
    </row>
    <row r="11" spans="1:11" s="6" customFormat="1" ht="15.75">
      <c r="A11" s="29">
        <v>5</v>
      </c>
      <c r="B11" s="27" t="s">
        <v>59</v>
      </c>
      <c r="C11" s="28"/>
      <c r="D11" s="126"/>
      <c r="E11" s="125"/>
      <c r="F11" s="126"/>
      <c r="G11" s="126"/>
      <c r="H11" s="28"/>
      <c r="I11" s="127">
        <v>21</v>
      </c>
      <c r="J11" s="58">
        <f>ROUND((C11+D11+E11+F11+G11+H11)*I11/1000,1)</f>
        <v>0</v>
      </c>
      <c r="K11" s="3"/>
    </row>
    <row r="12" spans="1:11" s="6" customFormat="1" ht="15.75">
      <c r="A12" s="29">
        <v>6</v>
      </c>
      <c r="B12" s="27" t="s">
        <v>3</v>
      </c>
      <c r="C12" s="28">
        <v>3168</v>
      </c>
      <c r="D12" s="126">
        <v>864</v>
      </c>
      <c r="E12" s="125">
        <v>256</v>
      </c>
      <c r="F12" s="126"/>
      <c r="G12" s="126">
        <v>240</v>
      </c>
      <c r="H12" s="28">
        <v>960</v>
      </c>
      <c r="I12" s="127">
        <v>21</v>
      </c>
      <c r="J12" s="58">
        <f>ROUND((C12+D12+E12+F12+G12+H12)*I12/1000,1)-2.6</f>
        <v>112.60000000000001</v>
      </c>
      <c r="K12" s="3"/>
    </row>
    <row r="13" spans="1:11" s="6" customFormat="1" ht="15.75" customHeight="1">
      <c r="A13" s="29">
        <v>7</v>
      </c>
      <c r="B13" s="27" t="s">
        <v>4</v>
      </c>
      <c r="C13" s="28">
        <v>3675</v>
      </c>
      <c r="D13" s="126">
        <v>2100</v>
      </c>
      <c r="E13" s="125">
        <v>1050</v>
      </c>
      <c r="F13" s="126"/>
      <c r="G13" s="126">
        <v>4200</v>
      </c>
      <c r="H13" s="28">
        <v>3150</v>
      </c>
      <c r="I13" s="127">
        <v>21</v>
      </c>
      <c r="J13" s="58">
        <f>ROUND((C13+D13+E13+F13+G13+H13)*I13/1000,1)+0.5</f>
        <v>298.2</v>
      </c>
      <c r="K13" s="3"/>
    </row>
    <row r="14" spans="1:11" s="32" customFormat="1" ht="15.75">
      <c r="A14" s="30">
        <v>8</v>
      </c>
      <c r="B14" s="31" t="s">
        <v>5</v>
      </c>
      <c r="C14" s="28">
        <v>2480</v>
      </c>
      <c r="D14" s="126">
        <v>720</v>
      </c>
      <c r="E14" s="125">
        <v>1440</v>
      </c>
      <c r="F14" s="126"/>
      <c r="G14" s="126">
        <v>1888</v>
      </c>
      <c r="H14" s="28">
        <v>560</v>
      </c>
      <c r="I14" s="127">
        <v>21</v>
      </c>
      <c r="J14" s="58">
        <f>ROUND((C14+D14+E14+F14+G14+H14)*I14/1000,1)+4.3</f>
        <v>153.10000000000002</v>
      </c>
      <c r="K14" s="3"/>
    </row>
    <row r="15" spans="1:11" s="6" customFormat="1" ht="15.75">
      <c r="A15" s="29">
        <v>10</v>
      </c>
      <c r="B15" s="27" t="s">
        <v>6</v>
      </c>
      <c r="C15" s="28"/>
      <c r="D15" s="126"/>
      <c r="E15" s="125"/>
      <c r="F15" s="126"/>
      <c r="G15" s="126"/>
      <c r="H15" s="28"/>
      <c r="I15" s="127">
        <v>23</v>
      </c>
      <c r="J15" s="58">
        <f>ROUND((C15+D15+E15+F15+G15+H15)*I15/1000,1)</f>
        <v>0</v>
      </c>
      <c r="K15" s="3"/>
    </row>
    <row r="16" spans="1:11" s="6" customFormat="1" ht="15.75">
      <c r="A16" s="33">
        <v>11</v>
      </c>
      <c r="B16" s="34" t="s">
        <v>7</v>
      </c>
      <c r="C16" s="28">
        <v>2550</v>
      </c>
      <c r="D16" s="126">
        <v>2040</v>
      </c>
      <c r="E16" s="125"/>
      <c r="F16" s="126"/>
      <c r="G16" s="126">
        <v>1530</v>
      </c>
      <c r="H16" s="28">
        <v>3060</v>
      </c>
      <c r="I16" s="127">
        <v>23</v>
      </c>
      <c r="J16" s="58">
        <f>ROUND((C16+D16+E16+F16+G16+H16)*I16/1000,1)-2.2</f>
        <v>208.9</v>
      </c>
      <c r="K16" s="3"/>
    </row>
    <row r="17" spans="1:11" s="6" customFormat="1" ht="15.75">
      <c r="A17" s="33">
        <v>12</v>
      </c>
      <c r="B17" s="34" t="s">
        <v>8</v>
      </c>
      <c r="C17" s="28">
        <v>4725</v>
      </c>
      <c r="D17" s="126">
        <v>4725</v>
      </c>
      <c r="E17" s="125">
        <v>2100</v>
      </c>
      <c r="F17" s="126"/>
      <c r="G17" s="126">
        <v>18450</v>
      </c>
      <c r="H17" s="28">
        <v>2100</v>
      </c>
      <c r="I17" s="127">
        <v>23</v>
      </c>
      <c r="J17" s="58">
        <f>ROUND((C17+D17+E17+F17+G17+H17)*I17/1000,1)+1</f>
        <v>739.3</v>
      </c>
      <c r="K17" s="3"/>
    </row>
    <row r="18" spans="1:11" s="6" customFormat="1" ht="15.75">
      <c r="A18" s="33">
        <v>13</v>
      </c>
      <c r="B18" s="34" t="s">
        <v>9</v>
      </c>
      <c r="C18" s="28">
        <v>13260</v>
      </c>
      <c r="D18" s="126">
        <v>3150</v>
      </c>
      <c r="E18" s="125">
        <v>3150</v>
      </c>
      <c r="F18" s="126"/>
      <c r="G18" s="126">
        <v>4200</v>
      </c>
      <c r="H18" s="28">
        <v>8120</v>
      </c>
      <c r="I18" s="127">
        <v>23</v>
      </c>
      <c r="J18" s="58">
        <f>ROUND((C18+D18+E18+F18+G18+H18)*I18/1000,1)+3.2</f>
        <v>736.4000000000001</v>
      </c>
      <c r="K18" s="3"/>
    </row>
    <row r="19" spans="1:11" s="6" customFormat="1" ht="15.75">
      <c r="A19" s="33">
        <v>14</v>
      </c>
      <c r="B19" s="34" t="s">
        <v>10</v>
      </c>
      <c r="C19" s="28">
        <v>4200</v>
      </c>
      <c r="D19" s="126">
        <v>4200</v>
      </c>
      <c r="E19" s="125">
        <v>1050</v>
      </c>
      <c r="F19" s="126"/>
      <c r="G19" s="126">
        <v>5530</v>
      </c>
      <c r="H19" s="28">
        <v>1050</v>
      </c>
      <c r="I19" s="127">
        <v>23</v>
      </c>
      <c r="J19" s="58">
        <f>ROUND((C19+D19+E19+F19+G19+H19)*I19/1000,1)-6.2</f>
        <v>362.5</v>
      </c>
      <c r="K19" s="3"/>
    </row>
    <row r="20" spans="1:11" s="6" customFormat="1" ht="19.5" customHeight="1">
      <c r="A20" s="33">
        <v>15</v>
      </c>
      <c r="B20" s="34" t="s">
        <v>11</v>
      </c>
      <c r="C20" s="28">
        <v>1050</v>
      </c>
      <c r="D20" s="126"/>
      <c r="E20" s="125">
        <v>1050</v>
      </c>
      <c r="F20" s="126"/>
      <c r="G20" s="126">
        <v>1575</v>
      </c>
      <c r="H20" s="28">
        <v>1050</v>
      </c>
      <c r="I20" s="127">
        <v>23</v>
      </c>
      <c r="J20" s="58">
        <f>ROUND((C20+D20+E20+F20+G20+H20)*I20/1000,1)-1.2</f>
        <v>107.5</v>
      </c>
      <c r="K20" s="3"/>
    </row>
    <row r="21" spans="1:11" s="6" customFormat="1" ht="15.75">
      <c r="A21" s="33">
        <v>16</v>
      </c>
      <c r="B21" s="34" t="s">
        <v>12</v>
      </c>
      <c r="C21" s="28">
        <v>6355</v>
      </c>
      <c r="D21" s="126">
        <v>2975</v>
      </c>
      <c r="E21" s="125">
        <v>2800</v>
      </c>
      <c r="F21" s="126"/>
      <c r="G21" s="126">
        <v>3675</v>
      </c>
      <c r="H21" s="28">
        <v>1400</v>
      </c>
      <c r="I21" s="127">
        <v>23</v>
      </c>
      <c r="J21" s="58">
        <f>ROUND((C21+D21+E21+F21+G21+H21)*I21/1000,1)+8.5</f>
        <v>404.2</v>
      </c>
      <c r="K21" s="3"/>
    </row>
    <row r="22" spans="1:11" s="38" customFormat="1" ht="15.75" customHeight="1">
      <c r="A22" s="35">
        <v>17</v>
      </c>
      <c r="B22" s="36" t="s">
        <v>13</v>
      </c>
      <c r="C22" s="37"/>
      <c r="D22" s="37"/>
      <c r="E22" s="37"/>
      <c r="F22" s="37"/>
      <c r="G22" s="37"/>
      <c r="H22" s="37"/>
      <c r="I22" s="127">
        <v>23</v>
      </c>
      <c r="J22" s="58">
        <f>ROUND((C22+D22+E22+F22+G22+H22)*I22/1000,1)</f>
        <v>0</v>
      </c>
      <c r="K22" s="3"/>
    </row>
    <row r="23" spans="1:11" s="41" customFormat="1" ht="19.5" customHeight="1">
      <c r="A23" s="35">
        <v>18</v>
      </c>
      <c r="B23" s="36" t="s">
        <v>14</v>
      </c>
      <c r="C23" s="39">
        <v>2040</v>
      </c>
      <c r="D23" s="131">
        <v>525</v>
      </c>
      <c r="E23" s="40">
        <v>1515</v>
      </c>
      <c r="F23" s="131"/>
      <c r="G23" s="131">
        <v>2010</v>
      </c>
      <c r="H23" s="39">
        <v>510</v>
      </c>
      <c r="I23" s="127">
        <v>23</v>
      </c>
      <c r="J23" s="58">
        <f>ROUND((C23+D23+E23+F23+G23+H23)*I23/1000,1)+0.9</f>
        <v>152.70000000000002</v>
      </c>
      <c r="K23" s="3"/>
    </row>
    <row r="24" spans="1:11" s="6" customFormat="1" ht="15.75">
      <c r="A24" s="33">
        <v>19</v>
      </c>
      <c r="B24" s="34" t="s">
        <v>15</v>
      </c>
      <c r="C24" s="28">
        <v>1680</v>
      </c>
      <c r="D24" s="126"/>
      <c r="E24" s="125">
        <v>5985</v>
      </c>
      <c r="F24" s="126"/>
      <c r="G24" s="126">
        <v>3220</v>
      </c>
      <c r="H24" s="28">
        <v>1540</v>
      </c>
      <c r="I24" s="127">
        <v>23</v>
      </c>
      <c r="J24" s="58">
        <f>ROUND((C24+D24+E24+F24+G24+H24)*I24/1000,1)+1.1</f>
        <v>286.90000000000003</v>
      </c>
      <c r="K24" s="3"/>
    </row>
    <row r="25" spans="1:11" s="38" customFormat="1" ht="21" customHeight="1">
      <c r="A25" s="35">
        <v>20</v>
      </c>
      <c r="B25" s="36" t="s">
        <v>16</v>
      </c>
      <c r="C25" s="28"/>
      <c r="D25" s="126">
        <v>1575</v>
      </c>
      <c r="E25" s="125"/>
      <c r="F25" s="126"/>
      <c r="G25" s="126">
        <v>2100</v>
      </c>
      <c r="H25" s="28">
        <v>2625</v>
      </c>
      <c r="I25" s="127">
        <v>23</v>
      </c>
      <c r="J25" s="58">
        <f>ROUND((C25+D25+E25+F25+G25+H25)*I25/1000,1)-5.5</f>
        <v>139.4</v>
      </c>
      <c r="K25" s="3"/>
    </row>
    <row r="26" spans="1:11" s="6" customFormat="1" ht="15.75">
      <c r="A26" s="33">
        <v>21</v>
      </c>
      <c r="B26" s="34" t="s">
        <v>17</v>
      </c>
      <c r="C26" s="28">
        <v>1575</v>
      </c>
      <c r="D26" s="126">
        <v>525</v>
      </c>
      <c r="E26" s="125"/>
      <c r="F26" s="126"/>
      <c r="G26" s="126">
        <v>1575</v>
      </c>
      <c r="H26" s="28">
        <v>1050</v>
      </c>
      <c r="I26" s="127">
        <v>23</v>
      </c>
      <c r="J26" s="58">
        <f>ROUND((C26+D26+E26+F26+G26+H26)*I26/1000,1)+5.3</f>
        <v>114</v>
      </c>
      <c r="K26" s="3"/>
    </row>
    <row r="27" spans="1:11" s="6" customFormat="1" ht="15.75">
      <c r="A27" s="33">
        <v>22</v>
      </c>
      <c r="B27" s="34" t="s">
        <v>18</v>
      </c>
      <c r="C27" s="28">
        <v>4725</v>
      </c>
      <c r="D27" s="126"/>
      <c r="E27" s="125"/>
      <c r="F27" s="126"/>
      <c r="G27" s="126"/>
      <c r="H27" s="28"/>
      <c r="I27" s="127">
        <v>23</v>
      </c>
      <c r="J27" s="58">
        <f>ROUND((C27+D27+E27+F27+G27+H27)*I27/1000,1)-1</f>
        <v>107.7</v>
      </c>
      <c r="K27" s="3"/>
    </row>
    <row r="28" spans="1:11" s="41" customFormat="1" ht="15" customHeight="1">
      <c r="A28" s="35">
        <v>23</v>
      </c>
      <c r="B28" s="36" t="s">
        <v>19</v>
      </c>
      <c r="C28" s="39">
        <v>525</v>
      </c>
      <c r="D28" s="131">
        <v>1050</v>
      </c>
      <c r="E28" s="40">
        <v>525</v>
      </c>
      <c r="F28" s="131"/>
      <c r="G28" s="131">
        <v>1050</v>
      </c>
      <c r="H28" s="39">
        <v>1575</v>
      </c>
      <c r="I28" s="127">
        <v>23</v>
      </c>
      <c r="J28" s="58">
        <f>ROUND((C28+D28+E28+F28+G28+H28)*I28/1000,1)+3.1</f>
        <v>111.8</v>
      </c>
      <c r="K28" s="3"/>
    </row>
    <row r="29" spans="1:11" s="38" customFormat="1" ht="18.75" customHeight="1">
      <c r="A29" s="35">
        <v>24</v>
      </c>
      <c r="B29" s="36" t="s">
        <v>20</v>
      </c>
      <c r="C29" s="28">
        <v>4235</v>
      </c>
      <c r="D29" s="126">
        <v>1050</v>
      </c>
      <c r="E29" s="125">
        <v>910</v>
      </c>
      <c r="F29" s="126"/>
      <c r="G29" s="126">
        <v>1750</v>
      </c>
      <c r="H29" s="28">
        <v>980</v>
      </c>
      <c r="I29" s="127">
        <v>23</v>
      </c>
      <c r="J29" s="58">
        <f>ROUND((C29+D29+E29+F29+G29+H29)*I29/1000,1)-4</f>
        <v>201.3</v>
      </c>
      <c r="K29" s="3"/>
    </row>
    <row r="30" spans="1:11" s="6" customFormat="1" ht="15.75">
      <c r="A30" s="33">
        <v>25</v>
      </c>
      <c r="B30" s="34" t="s">
        <v>21</v>
      </c>
      <c r="C30" s="28">
        <v>1260</v>
      </c>
      <c r="D30" s="126">
        <v>315</v>
      </c>
      <c r="E30" s="125">
        <v>1470</v>
      </c>
      <c r="F30" s="126"/>
      <c r="G30" s="126">
        <v>1050</v>
      </c>
      <c r="H30" s="28">
        <v>245</v>
      </c>
      <c r="I30" s="127">
        <v>23</v>
      </c>
      <c r="J30" s="58">
        <f>ROUND((C30+D30+E30+F30+G30+H30)*I30/1000,1)+1.7</f>
        <v>101.5</v>
      </c>
      <c r="K30" s="3"/>
    </row>
    <row r="31" spans="1:11" s="6" customFormat="1" ht="15.75">
      <c r="A31" s="33">
        <v>26</v>
      </c>
      <c r="B31" s="34" t="s">
        <v>22</v>
      </c>
      <c r="C31" s="28">
        <v>1575</v>
      </c>
      <c r="D31" s="126"/>
      <c r="E31" s="125">
        <v>1575</v>
      </c>
      <c r="F31" s="126"/>
      <c r="G31" s="126">
        <v>1575</v>
      </c>
      <c r="H31" s="28"/>
      <c r="I31" s="127">
        <v>23</v>
      </c>
      <c r="J31" s="58">
        <f>ROUND((C31+D31+E31+F31+G31+H31)*I31/1000,1)-2.8</f>
        <v>105.9</v>
      </c>
      <c r="K31" s="3"/>
    </row>
    <row r="32" spans="1:11" s="6" customFormat="1" ht="15.75">
      <c r="A32" s="33">
        <v>27</v>
      </c>
      <c r="B32" s="34" t="s">
        <v>23</v>
      </c>
      <c r="C32" s="28">
        <v>1656</v>
      </c>
      <c r="D32" s="126">
        <v>864</v>
      </c>
      <c r="E32" s="125">
        <v>1224</v>
      </c>
      <c r="F32" s="126"/>
      <c r="G32" s="126">
        <v>540</v>
      </c>
      <c r="H32" s="28">
        <v>1944</v>
      </c>
      <c r="I32" s="127">
        <v>23</v>
      </c>
      <c r="J32" s="58">
        <f>ROUND((C32+D32+E32+F32+G32+H32)*I32/1000,1)-3.6</f>
        <v>139.6</v>
      </c>
      <c r="K32" s="3"/>
    </row>
    <row r="33" spans="1:11" s="6" customFormat="1" ht="19.5" customHeight="1">
      <c r="A33" s="33">
        <v>28</v>
      </c>
      <c r="B33" s="34" t="s">
        <v>24</v>
      </c>
      <c r="C33" s="28">
        <v>525</v>
      </c>
      <c r="D33" s="126">
        <v>525</v>
      </c>
      <c r="E33" s="125">
        <v>1050</v>
      </c>
      <c r="F33" s="126"/>
      <c r="G33" s="126">
        <v>1575</v>
      </c>
      <c r="H33" s="28">
        <v>1050</v>
      </c>
      <c r="I33" s="127">
        <v>23</v>
      </c>
      <c r="J33" s="58">
        <f>ROUND((C33+D33+E33+F33+G33+H33)*I33/1000,1)-4.5</f>
        <v>104.2</v>
      </c>
      <c r="K33" s="3"/>
    </row>
    <row r="34" spans="1:11" s="6" customFormat="1" ht="18" customHeight="1">
      <c r="A34" s="33">
        <v>29</v>
      </c>
      <c r="B34" s="34" t="s">
        <v>25</v>
      </c>
      <c r="C34" s="28">
        <v>1050</v>
      </c>
      <c r="D34" s="126"/>
      <c r="E34" s="125">
        <v>525</v>
      </c>
      <c r="F34" s="126"/>
      <c r="G34" s="126"/>
      <c r="H34" s="28"/>
      <c r="I34" s="127">
        <v>23</v>
      </c>
      <c r="J34" s="58">
        <f>ROUND((C34+D34+E34+F34+G34+H34)*I34/1000,1)+0.1</f>
        <v>36.300000000000004</v>
      </c>
      <c r="K34" s="3"/>
    </row>
    <row r="35" spans="1:11" s="41" customFormat="1" ht="18.75" customHeight="1">
      <c r="A35" s="35">
        <v>30</v>
      </c>
      <c r="B35" s="36" t="s">
        <v>26</v>
      </c>
      <c r="C35" s="39">
        <v>525</v>
      </c>
      <c r="D35" s="131">
        <v>700</v>
      </c>
      <c r="E35" s="40">
        <v>9450</v>
      </c>
      <c r="F35" s="131"/>
      <c r="G35" s="131">
        <v>5600</v>
      </c>
      <c r="H35" s="39">
        <v>2100</v>
      </c>
      <c r="I35" s="127">
        <v>23</v>
      </c>
      <c r="J35" s="58">
        <f>ROUND((C35+D35+E35+F35+G35+H35)*I35/1000,1)-3.2</f>
        <v>419.40000000000003</v>
      </c>
      <c r="K35" s="3"/>
    </row>
    <row r="36" spans="1:11" s="6" customFormat="1" ht="24" customHeight="1">
      <c r="A36" s="33">
        <v>31</v>
      </c>
      <c r="B36" s="34" t="s">
        <v>27</v>
      </c>
      <c r="C36" s="28">
        <v>525</v>
      </c>
      <c r="D36" s="28"/>
      <c r="E36" s="125">
        <v>2100</v>
      </c>
      <c r="F36" s="131"/>
      <c r="G36" s="126">
        <v>2170</v>
      </c>
      <c r="H36" s="28"/>
      <c r="I36" s="127">
        <v>23</v>
      </c>
      <c r="J36" s="58">
        <f>ROUND((C36+D36+E36+F36+G36+H36)*I36/1000,1)-2.5</f>
        <v>107.8</v>
      </c>
      <c r="K36" s="3"/>
    </row>
    <row r="37" spans="1:11" s="6" customFormat="1" ht="15.75">
      <c r="A37" s="33">
        <v>32</v>
      </c>
      <c r="B37" s="34" t="s">
        <v>28</v>
      </c>
      <c r="C37" s="28">
        <v>1050</v>
      </c>
      <c r="D37" s="126">
        <v>525</v>
      </c>
      <c r="E37" s="125">
        <v>525</v>
      </c>
      <c r="F37" s="126"/>
      <c r="G37" s="126">
        <v>525</v>
      </c>
      <c r="H37" s="28">
        <v>2100</v>
      </c>
      <c r="I37" s="127">
        <v>23</v>
      </c>
      <c r="J37" s="58">
        <f>ROUND((C37+D37+E37+F37+G37+H37)*I37/1000,1)-2</f>
        <v>106.7</v>
      </c>
      <c r="K37" s="3"/>
    </row>
    <row r="38" spans="1:11" s="6" customFormat="1" ht="15.75">
      <c r="A38" s="33">
        <v>33</v>
      </c>
      <c r="B38" s="34" t="s">
        <v>29</v>
      </c>
      <c r="C38" s="28">
        <v>525</v>
      </c>
      <c r="D38" s="28"/>
      <c r="E38" s="28">
        <v>1050</v>
      </c>
      <c r="F38" s="28"/>
      <c r="G38" s="28">
        <v>2625</v>
      </c>
      <c r="H38" s="28">
        <v>525</v>
      </c>
      <c r="I38" s="127">
        <v>23</v>
      </c>
      <c r="J38" s="58">
        <f>ROUND((C38+D38+E38+F38+G38+H38)*I38/1000,1)+3.7</f>
        <v>112.4</v>
      </c>
      <c r="K38" s="3"/>
    </row>
    <row r="39" spans="1:11" s="6" customFormat="1" ht="15.75">
      <c r="A39" s="33">
        <v>34</v>
      </c>
      <c r="B39" s="34" t="s">
        <v>30</v>
      </c>
      <c r="C39" s="132"/>
      <c r="D39" s="132"/>
      <c r="E39" s="132"/>
      <c r="F39" s="132"/>
      <c r="G39" s="132"/>
      <c r="H39" s="132"/>
      <c r="I39" s="127">
        <v>23</v>
      </c>
      <c r="J39" s="58">
        <f>ROUND((C39+D39+E39+F39+G39+H39)*I39/1000,1)</f>
        <v>0</v>
      </c>
      <c r="K39" s="3"/>
    </row>
    <row r="40" spans="1:11" s="6" customFormat="1" ht="15.75">
      <c r="A40" s="33">
        <v>35</v>
      </c>
      <c r="B40" s="34" t="s">
        <v>31</v>
      </c>
      <c r="C40" s="28">
        <v>4655</v>
      </c>
      <c r="D40" s="126"/>
      <c r="E40" s="125"/>
      <c r="F40" s="126"/>
      <c r="G40" s="126">
        <v>4130</v>
      </c>
      <c r="H40" s="28">
        <v>3360</v>
      </c>
      <c r="I40" s="127">
        <v>23</v>
      </c>
      <c r="J40" s="58">
        <f>ROUND((C40+D40+E40+F40+G40+H40)*I40/1000,1)-0.2</f>
        <v>279.1</v>
      </c>
      <c r="K40" s="3"/>
    </row>
    <row r="41" spans="1:11" s="6" customFormat="1" ht="22.5" customHeight="1">
      <c r="A41" s="33">
        <v>36</v>
      </c>
      <c r="B41" s="34" t="s">
        <v>32</v>
      </c>
      <c r="C41" s="28">
        <v>3850</v>
      </c>
      <c r="D41" s="126">
        <v>525</v>
      </c>
      <c r="E41" s="125">
        <v>1575</v>
      </c>
      <c r="F41" s="126">
        <v>525</v>
      </c>
      <c r="G41" s="126">
        <v>4200</v>
      </c>
      <c r="H41" s="28">
        <v>980</v>
      </c>
      <c r="I41" s="127">
        <v>23</v>
      </c>
      <c r="J41" s="58">
        <f>ROUND((C41+D41+E41+F41+G41+H41)*I41/1000,1)+4.1</f>
        <v>272.20000000000005</v>
      </c>
      <c r="K41" s="3"/>
    </row>
    <row r="42" spans="1:11" s="6" customFormat="1" ht="21.75" customHeight="1">
      <c r="A42" s="33">
        <v>37</v>
      </c>
      <c r="B42" s="34" t="s">
        <v>33</v>
      </c>
      <c r="C42" s="28">
        <v>510</v>
      </c>
      <c r="D42" s="126">
        <v>1020</v>
      </c>
      <c r="E42" s="125">
        <v>1020</v>
      </c>
      <c r="F42" s="126">
        <v>510</v>
      </c>
      <c r="G42" s="126">
        <v>4590</v>
      </c>
      <c r="H42" s="28">
        <v>1530</v>
      </c>
      <c r="I42" s="127">
        <v>23</v>
      </c>
      <c r="J42" s="58">
        <f>ROUND((C42+D42+E42+F42+G42+H42)*I42/1000,1)+0.6</f>
        <v>211.7</v>
      </c>
      <c r="K42" s="3"/>
    </row>
    <row r="43" spans="1:11" s="38" customFormat="1" ht="21" customHeight="1">
      <c r="A43" s="35">
        <v>38</v>
      </c>
      <c r="B43" s="36" t="s">
        <v>34</v>
      </c>
      <c r="C43" s="28">
        <v>540</v>
      </c>
      <c r="D43" s="126">
        <v>370</v>
      </c>
      <c r="E43" s="125"/>
      <c r="F43" s="126">
        <v>2700</v>
      </c>
      <c r="G43" s="126">
        <v>740</v>
      </c>
      <c r="H43" s="28">
        <v>1700</v>
      </c>
      <c r="I43" s="127">
        <v>23</v>
      </c>
      <c r="J43" s="58">
        <f>ROUND((C43+D43+E43+F43+G43+H43)*I43/1000,1)-2.4</f>
        <v>136.79999999999998</v>
      </c>
      <c r="K43" s="3"/>
    </row>
    <row r="44" spans="1:11" s="38" customFormat="1" ht="15.75">
      <c r="A44" s="33">
        <v>39</v>
      </c>
      <c r="B44" s="36" t="s">
        <v>35</v>
      </c>
      <c r="C44" s="42">
        <v>1575</v>
      </c>
      <c r="D44" s="133">
        <v>1575</v>
      </c>
      <c r="E44" s="134"/>
      <c r="F44" s="133"/>
      <c r="G44" s="133">
        <v>1575</v>
      </c>
      <c r="H44" s="42"/>
      <c r="I44" s="127">
        <v>23</v>
      </c>
      <c r="J44" s="58">
        <f>ROUND((C44+D44+E44+F44+G44+H44)*I44/1000,1)+1.8</f>
        <v>110.5</v>
      </c>
      <c r="K44" s="3"/>
    </row>
    <row r="45" spans="1:11" s="6" customFormat="1" ht="16.5" thickBot="1">
      <c r="A45" s="33">
        <v>40</v>
      </c>
      <c r="B45" s="43" t="s">
        <v>36</v>
      </c>
      <c r="C45" s="73"/>
      <c r="D45" s="135">
        <v>525</v>
      </c>
      <c r="E45" s="136">
        <v>1400</v>
      </c>
      <c r="F45" s="133">
        <v>1050</v>
      </c>
      <c r="G45" s="135">
        <v>7420</v>
      </c>
      <c r="H45" s="73"/>
      <c r="I45" s="127">
        <v>23</v>
      </c>
      <c r="J45" s="58">
        <f>ROUND((C45+D45+E45+F45+G45+H45)*I45/1000,1)+1.5</f>
        <v>240.6</v>
      </c>
      <c r="K45" s="3"/>
    </row>
    <row r="46" spans="1:11" s="6" customFormat="1" ht="36" customHeight="1" thickBot="1">
      <c r="A46" s="7"/>
      <c r="B46" s="80" t="s">
        <v>77</v>
      </c>
      <c r="C46" s="8">
        <f aca="true" t="shared" si="0" ref="C46:H46">SUM(C7:C45)</f>
        <v>89549</v>
      </c>
      <c r="D46" s="8">
        <f t="shared" si="0"/>
        <v>38188</v>
      </c>
      <c r="E46" s="8">
        <f t="shared" si="0"/>
        <v>51035</v>
      </c>
      <c r="F46" s="8">
        <f t="shared" si="0"/>
        <v>7410</v>
      </c>
      <c r="G46" s="8">
        <f t="shared" si="0"/>
        <v>105213</v>
      </c>
      <c r="H46" s="57">
        <f t="shared" si="0"/>
        <v>49134</v>
      </c>
      <c r="I46" s="3"/>
      <c r="J46" s="58">
        <f>SUM(J7:J45)</f>
        <v>7702</v>
      </c>
      <c r="K46" s="3"/>
    </row>
    <row r="47" spans="1:10" s="6" customFormat="1" ht="18" customHeight="1">
      <c r="A47" s="9"/>
      <c r="B47" s="10"/>
      <c r="J47" s="74"/>
    </row>
    <row r="48" spans="1:11" s="6" customFormat="1" ht="15.75">
      <c r="A48" s="12"/>
      <c r="B48" s="13"/>
      <c r="C48" s="25"/>
      <c r="K48" s="96"/>
    </row>
    <row r="49" spans="1:2" s="6" customFormat="1" ht="15.75">
      <c r="A49" s="12"/>
      <c r="B49" s="13"/>
    </row>
    <row r="50" spans="1:2" s="6" customFormat="1" ht="15.75">
      <c r="A50" s="12"/>
      <c r="B50" s="13"/>
    </row>
    <row r="51" spans="1:2" s="6" customFormat="1" ht="15.75">
      <c r="A51" s="12"/>
      <c r="B51" s="13"/>
    </row>
    <row r="52" spans="1:2" s="6" customFormat="1" ht="15.75">
      <c r="A52" s="12"/>
      <c r="B52" s="15"/>
    </row>
    <row r="53" spans="1:2" s="6" customFormat="1" ht="15.75">
      <c r="A53" s="12"/>
      <c r="B53" s="15"/>
    </row>
    <row r="54" spans="1:2" s="6" customFormat="1" ht="16.5" customHeight="1">
      <c r="A54" s="12"/>
      <c r="B54" s="13"/>
    </row>
    <row r="55" spans="1:2" s="6" customFormat="1" ht="15.75">
      <c r="A55" s="12"/>
      <c r="B55" s="13"/>
    </row>
    <row r="56" spans="1:2" s="6" customFormat="1" ht="15.75">
      <c r="A56" s="12"/>
      <c r="B56" s="13"/>
    </row>
    <row r="57" spans="1:2" s="6" customFormat="1" ht="15.75">
      <c r="A57" s="12"/>
      <c r="B57" s="13"/>
    </row>
    <row r="58" spans="1:2" s="6" customFormat="1" ht="15.75">
      <c r="A58" s="12"/>
      <c r="B58" s="13"/>
    </row>
    <row r="59" spans="1:2" s="6" customFormat="1" ht="15.75">
      <c r="A59" s="12"/>
      <c r="B59" s="13"/>
    </row>
    <row r="60" spans="1:2" s="6" customFormat="1" ht="15.75">
      <c r="A60" s="12"/>
      <c r="B60" s="16"/>
    </row>
    <row r="61" spans="1:2" s="18" customFormat="1" ht="16.5" customHeight="1">
      <c r="A61" s="145"/>
      <c r="B61" s="145"/>
    </row>
    <row r="62" spans="1:2" ht="15.75">
      <c r="A62" s="12"/>
      <c r="B62" s="15"/>
    </row>
    <row r="63" spans="1:2" ht="15.75">
      <c r="A63" s="12"/>
      <c r="B63" s="15"/>
    </row>
    <row r="64" spans="1:2" ht="15.75">
      <c r="A64" s="12"/>
      <c r="B64" s="15"/>
    </row>
    <row r="65" spans="1:2" ht="15.75">
      <c r="A65" s="12"/>
      <c r="B65" s="15"/>
    </row>
    <row r="66" spans="1:2" ht="18" customHeight="1">
      <c r="A66" s="12"/>
      <c r="B66" s="15"/>
    </row>
    <row r="67" spans="1:2" ht="15.75">
      <c r="A67" s="12"/>
      <c r="B67" s="15"/>
    </row>
    <row r="68" spans="1:2" ht="15.75">
      <c r="A68" s="12"/>
      <c r="B68" s="15"/>
    </row>
    <row r="69" spans="1:2" ht="15.75">
      <c r="A69" s="12"/>
      <c r="B69" s="15"/>
    </row>
    <row r="70" spans="1:2" ht="15.75">
      <c r="A70" s="12"/>
      <c r="B70" s="15"/>
    </row>
    <row r="71" spans="1:2" ht="15.75">
      <c r="A71" s="12"/>
      <c r="B71" s="15"/>
    </row>
    <row r="72" spans="1:2" ht="15.75">
      <c r="A72" s="12"/>
      <c r="B72" s="13"/>
    </row>
    <row r="73" spans="1:2" ht="15.75">
      <c r="A73" s="12"/>
      <c r="B73" s="13"/>
    </row>
    <row r="74" spans="1:2" ht="15.75">
      <c r="A74" s="12"/>
      <c r="B74" s="13"/>
    </row>
    <row r="75" spans="1:2" ht="15.75">
      <c r="A75" s="12"/>
      <c r="B75" s="13"/>
    </row>
    <row r="76" spans="1:2" ht="15.75">
      <c r="A76" s="12"/>
      <c r="B76" s="13"/>
    </row>
    <row r="77" spans="1:2" ht="15.75">
      <c r="A77" s="12"/>
      <c r="B77" s="13"/>
    </row>
    <row r="78" spans="1:2" ht="15.75">
      <c r="A78" s="12"/>
      <c r="B78" s="13"/>
    </row>
    <row r="79" spans="1:2" ht="15.75">
      <c r="A79" s="12"/>
      <c r="B79" s="13"/>
    </row>
    <row r="80" spans="1:2" ht="15.75">
      <c r="A80" s="12"/>
      <c r="B80" s="13"/>
    </row>
    <row r="81" spans="1:2" ht="15.75">
      <c r="A81" s="12"/>
      <c r="B81" s="13"/>
    </row>
    <row r="82" spans="1:2" ht="15.75">
      <c r="A82" s="12"/>
      <c r="B82" s="13"/>
    </row>
    <row r="83" spans="1:2" ht="15.75">
      <c r="A83" s="12"/>
      <c r="B83" s="13"/>
    </row>
    <row r="84" spans="1:2" ht="15.75">
      <c r="A84" s="12"/>
      <c r="B84" s="13"/>
    </row>
    <row r="85" spans="1:2" ht="15.75">
      <c r="A85" s="12"/>
      <c r="B85" s="13"/>
    </row>
    <row r="86" spans="1:2" ht="15.75">
      <c r="A86" s="12"/>
      <c r="B86" s="13"/>
    </row>
    <row r="87" spans="1:2" ht="15.75">
      <c r="A87" s="12"/>
      <c r="B87" s="13"/>
    </row>
    <row r="88" spans="1:2" ht="15.75">
      <c r="A88" s="12"/>
      <c r="B88" s="13"/>
    </row>
    <row r="89" spans="1:2" ht="15.75">
      <c r="A89" s="12"/>
      <c r="B89" s="13"/>
    </row>
    <row r="90" spans="1:2" ht="15.75">
      <c r="A90" s="12"/>
      <c r="B90" s="13"/>
    </row>
    <row r="91" spans="1:2" ht="15.75">
      <c r="A91" s="12"/>
      <c r="B91" s="13"/>
    </row>
    <row r="92" spans="1:2" ht="15.75">
      <c r="A92" s="12"/>
      <c r="B92" s="13"/>
    </row>
    <row r="93" spans="1:2" ht="15.75">
      <c r="A93" s="12"/>
      <c r="B93" s="13"/>
    </row>
    <row r="94" spans="1:2" ht="15.75">
      <c r="A94" s="12"/>
      <c r="B94" s="13"/>
    </row>
    <row r="95" spans="1:2" ht="15.75">
      <c r="A95" s="12"/>
      <c r="B95" s="13"/>
    </row>
    <row r="96" spans="1:2" ht="15.75">
      <c r="A96" s="12"/>
      <c r="B96" s="13"/>
    </row>
    <row r="97" spans="1:2" ht="15.75">
      <c r="A97" s="12"/>
      <c r="B97" s="13"/>
    </row>
    <row r="98" spans="1:2" ht="15.75">
      <c r="A98" s="12"/>
      <c r="B98" s="13"/>
    </row>
    <row r="99" spans="1:2" ht="15.75">
      <c r="A99" s="12"/>
      <c r="B99" s="13"/>
    </row>
    <row r="100" spans="1:2" ht="15.75">
      <c r="A100" s="12"/>
      <c r="B100" s="13"/>
    </row>
    <row r="101" spans="1:2" ht="15.75">
      <c r="A101" s="12"/>
      <c r="B101" s="13"/>
    </row>
    <row r="102" spans="1:2" ht="15.75">
      <c r="A102" s="12"/>
      <c r="B102" s="13"/>
    </row>
    <row r="103" spans="1:2" ht="15.75">
      <c r="A103" s="12"/>
      <c r="B103" s="13"/>
    </row>
    <row r="104" spans="1:2" ht="15.75">
      <c r="A104" s="12"/>
      <c r="B104" s="13"/>
    </row>
    <row r="105" spans="1:2" ht="15.75">
      <c r="A105" s="12"/>
      <c r="B105" s="13"/>
    </row>
    <row r="106" spans="1:2" ht="15.75">
      <c r="A106" s="20"/>
      <c r="B106" s="21"/>
    </row>
    <row r="107" spans="1:2" ht="18.75">
      <c r="A107" s="22"/>
      <c r="B107" s="22"/>
    </row>
    <row r="108" spans="1:2" ht="12.75">
      <c r="A108" s="20"/>
      <c r="B108" s="20"/>
    </row>
  </sheetData>
  <sheetProtection/>
  <mergeCells count="9">
    <mergeCell ref="J2:J6"/>
    <mergeCell ref="C4:H4"/>
    <mergeCell ref="A61:B61"/>
    <mergeCell ref="A1:E1"/>
    <mergeCell ref="A2:A6"/>
    <mergeCell ref="B2:B4"/>
    <mergeCell ref="B5:B6"/>
    <mergeCell ref="C2:H3"/>
    <mergeCell ref="I2:I6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="71" zoomScaleNormal="74" zoomScaleSheetLayoutView="71" zoomScalePageLayoutView="0" workbookViewId="0" topLeftCell="A1">
      <selection activeCell="F1" sqref="F1:F16384"/>
    </sheetView>
  </sheetViews>
  <sheetFormatPr defaultColWidth="9.140625" defaultRowHeight="12.75"/>
  <cols>
    <col min="1" max="1" width="9.00390625" style="4" customWidth="1"/>
    <col min="2" max="2" width="36.140625" style="4" customWidth="1"/>
    <col min="3" max="3" width="23.28125" style="19" customWidth="1"/>
    <col min="4" max="4" width="21.421875" style="19" customWidth="1"/>
    <col min="5" max="5" width="26.421875" style="19" customWidth="1"/>
    <col min="6" max="6" width="9.140625" style="19" customWidth="1"/>
    <col min="7" max="16384" width="9.140625" style="19" customWidth="1"/>
  </cols>
  <sheetData>
    <row r="1" spans="1:5" s="6" customFormat="1" ht="18.75">
      <c r="A1" s="166"/>
      <c r="B1" s="166"/>
      <c r="E1" s="6" t="s">
        <v>91</v>
      </c>
    </row>
    <row r="2" spans="1:5" s="83" customFormat="1" ht="15.75">
      <c r="A2" s="172" t="s">
        <v>81</v>
      </c>
      <c r="B2" s="143" t="s">
        <v>74</v>
      </c>
      <c r="C2" s="142" t="s">
        <v>83</v>
      </c>
      <c r="D2" s="167" t="s">
        <v>61</v>
      </c>
      <c r="E2" s="167" t="s">
        <v>80</v>
      </c>
    </row>
    <row r="3" spans="1:5" s="83" customFormat="1" ht="51.75" customHeight="1">
      <c r="A3" s="172"/>
      <c r="B3" s="144"/>
      <c r="C3" s="142"/>
      <c r="D3" s="168"/>
      <c r="E3" s="168"/>
    </row>
    <row r="4" spans="1:5" s="83" customFormat="1" ht="102.75" customHeight="1">
      <c r="A4" s="172"/>
      <c r="B4" s="144"/>
      <c r="C4" s="105" t="s">
        <v>52</v>
      </c>
      <c r="D4" s="168"/>
      <c r="E4" s="168"/>
    </row>
    <row r="5" spans="1:5" s="83" customFormat="1" ht="65.25" customHeight="1">
      <c r="A5" s="172"/>
      <c r="B5" s="142" t="s">
        <v>73</v>
      </c>
      <c r="C5" s="170" t="s">
        <v>46</v>
      </c>
      <c r="D5" s="168"/>
      <c r="E5" s="168"/>
    </row>
    <row r="6" spans="1:5" s="83" customFormat="1" ht="64.5" customHeight="1" hidden="1">
      <c r="A6" s="172"/>
      <c r="B6" s="142"/>
      <c r="C6" s="171"/>
      <c r="D6" s="169"/>
      <c r="E6" s="169"/>
    </row>
    <row r="7" spans="1:6" s="6" customFormat="1" ht="15.75">
      <c r="A7" s="29">
        <v>1</v>
      </c>
      <c r="B7" s="27" t="s">
        <v>0</v>
      </c>
      <c r="C7" s="126">
        <v>38</v>
      </c>
      <c r="D7" s="127">
        <v>4607</v>
      </c>
      <c r="E7" s="58">
        <f>ROUNDDOWN(C7*D7/1000,1)</f>
        <v>175</v>
      </c>
      <c r="F7" s="95"/>
    </row>
    <row r="8" spans="1:6" s="6" customFormat="1" ht="15.75">
      <c r="A8" s="29">
        <v>2</v>
      </c>
      <c r="B8" s="27" t="s">
        <v>60</v>
      </c>
      <c r="C8" s="126">
        <v>97</v>
      </c>
      <c r="D8" s="127">
        <v>4607</v>
      </c>
      <c r="E8" s="58">
        <f aca="true" t="shared" si="0" ref="E8:E45">ROUNDDOWN(C8*D8/1000,1)</f>
        <v>446.8</v>
      </c>
      <c r="F8" s="95"/>
    </row>
    <row r="9" spans="1:6" s="6" customFormat="1" ht="15.75">
      <c r="A9" s="29">
        <v>3</v>
      </c>
      <c r="B9" s="27" t="s">
        <v>1</v>
      </c>
      <c r="C9" s="126">
        <v>38</v>
      </c>
      <c r="D9" s="127">
        <v>4607</v>
      </c>
      <c r="E9" s="58">
        <f t="shared" si="0"/>
        <v>175</v>
      </c>
      <c r="F9" s="95"/>
    </row>
    <row r="10" spans="1:6" s="6" customFormat="1" ht="15.75">
      <c r="A10" s="29">
        <v>4</v>
      </c>
      <c r="B10" s="27" t="s">
        <v>2</v>
      </c>
      <c r="C10" s="126">
        <v>45</v>
      </c>
      <c r="D10" s="127">
        <v>4607</v>
      </c>
      <c r="E10" s="58">
        <f t="shared" si="0"/>
        <v>207.3</v>
      </c>
      <c r="F10" s="95"/>
    </row>
    <row r="11" spans="1:6" s="6" customFormat="1" ht="15.75">
      <c r="A11" s="29">
        <v>5</v>
      </c>
      <c r="B11" s="27" t="s">
        <v>59</v>
      </c>
      <c r="C11" s="126">
        <v>44</v>
      </c>
      <c r="D11" s="127">
        <v>4607</v>
      </c>
      <c r="E11" s="58">
        <f t="shared" si="0"/>
        <v>202.7</v>
      </c>
      <c r="F11" s="95"/>
    </row>
    <row r="12" spans="1:6" s="6" customFormat="1" ht="15.75">
      <c r="A12" s="29">
        <v>6</v>
      </c>
      <c r="B12" s="27" t="s">
        <v>3</v>
      </c>
      <c r="C12" s="126">
        <v>21</v>
      </c>
      <c r="D12" s="127">
        <v>4607</v>
      </c>
      <c r="E12" s="58">
        <f t="shared" si="0"/>
        <v>96.7</v>
      </c>
      <c r="F12" s="95"/>
    </row>
    <row r="13" spans="1:6" s="6" customFormat="1" ht="15.75" customHeight="1">
      <c r="A13" s="29">
        <v>7</v>
      </c>
      <c r="B13" s="27" t="s">
        <v>4</v>
      </c>
      <c r="C13" s="126">
        <v>38</v>
      </c>
      <c r="D13" s="127">
        <v>4607</v>
      </c>
      <c r="E13" s="58">
        <f t="shared" si="0"/>
        <v>175</v>
      </c>
      <c r="F13" s="95"/>
    </row>
    <row r="14" spans="1:6" s="32" customFormat="1" ht="15.75">
      <c r="A14" s="30">
        <v>8</v>
      </c>
      <c r="B14" s="31" t="s">
        <v>5</v>
      </c>
      <c r="C14" s="137"/>
      <c r="D14" s="127">
        <v>4607</v>
      </c>
      <c r="E14" s="58">
        <f t="shared" si="0"/>
        <v>0</v>
      </c>
      <c r="F14" s="95"/>
    </row>
    <row r="15" spans="1:6" s="6" customFormat="1" ht="15.75">
      <c r="A15" s="29">
        <v>9</v>
      </c>
      <c r="B15" s="27" t="s">
        <v>6</v>
      </c>
      <c r="C15" s="126"/>
      <c r="D15" s="127">
        <v>4762</v>
      </c>
      <c r="E15" s="58">
        <f t="shared" si="0"/>
        <v>0</v>
      </c>
      <c r="F15" s="95"/>
    </row>
    <row r="16" spans="1:6" s="6" customFormat="1" ht="15.75">
      <c r="A16" s="30">
        <v>10</v>
      </c>
      <c r="B16" s="34" t="s">
        <v>7</v>
      </c>
      <c r="C16" s="126">
        <v>104</v>
      </c>
      <c r="D16" s="127">
        <v>4762</v>
      </c>
      <c r="E16" s="58">
        <f t="shared" si="0"/>
        <v>495.2</v>
      </c>
      <c r="F16" s="95"/>
    </row>
    <row r="17" spans="1:6" s="6" customFormat="1" ht="15.75">
      <c r="A17" s="29">
        <v>11</v>
      </c>
      <c r="B17" s="34" t="s">
        <v>8</v>
      </c>
      <c r="C17" s="126">
        <v>42</v>
      </c>
      <c r="D17" s="127">
        <v>4762</v>
      </c>
      <c r="E17" s="58">
        <f t="shared" si="0"/>
        <v>200</v>
      </c>
      <c r="F17" s="95"/>
    </row>
    <row r="18" spans="1:6" s="6" customFormat="1" ht="15.75">
      <c r="A18" s="30">
        <v>12</v>
      </c>
      <c r="B18" s="34" t="s">
        <v>9</v>
      </c>
      <c r="C18" s="126">
        <v>8</v>
      </c>
      <c r="D18" s="127">
        <v>4762</v>
      </c>
      <c r="E18" s="58">
        <f t="shared" si="0"/>
        <v>38</v>
      </c>
      <c r="F18" s="95"/>
    </row>
    <row r="19" spans="1:6" s="6" customFormat="1" ht="15.75">
      <c r="A19" s="29">
        <v>13</v>
      </c>
      <c r="B19" s="34" t="s">
        <v>10</v>
      </c>
      <c r="C19" s="126">
        <v>15</v>
      </c>
      <c r="D19" s="127">
        <v>4762</v>
      </c>
      <c r="E19" s="58">
        <f t="shared" si="0"/>
        <v>71.4</v>
      </c>
      <c r="F19" s="95"/>
    </row>
    <row r="20" spans="1:6" s="6" customFormat="1" ht="19.5" customHeight="1">
      <c r="A20" s="30">
        <v>14</v>
      </c>
      <c r="B20" s="34" t="s">
        <v>11</v>
      </c>
      <c r="C20" s="126">
        <v>4</v>
      </c>
      <c r="D20" s="127">
        <v>4762</v>
      </c>
      <c r="E20" s="58">
        <f t="shared" si="0"/>
        <v>19</v>
      </c>
      <c r="F20" s="95"/>
    </row>
    <row r="21" spans="1:6" s="6" customFormat="1" ht="15.75">
      <c r="A21" s="29">
        <v>15</v>
      </c>
      <c r="B21" s="34" t="s">
        <v>12</v>
      </c>
      <c r="C21" s="126">
        <v>2</v>
      </c>
      <c r="D21" s="127">
        <v>4762</v>
      </c>
      <c r="E21" s="58">
        <f t="shared" si="0"/>
        <v>9.5</v>
      </c>
      <c r="F21" s="95"/>
    </row>
    <row r="22" spans="1:6" s="38" customFormat="1" ht="15.75" customHeight="1">
      <c r="A22" s="30">
        <v>16</v>
      </c>
      <c r="B22" s="36" t="s">
        <v>13</v>
      </c>
      <c r="C22" s="126">
        <v>13</v>
      </c>
      <c r="D22" s="127">
        <v>4762</v>
      </c>
      <c r="E22" s="58">
        <f t="shared" si="0"/>
        <v>61.9</v>
      </c>
      <c r="F22" s="95"/>
    </row>
    <row r="23" spans="1:6" s="41" customFormat="1" ht="19.5" customHeight="1">
      <c r="A23" s="29">
        <v>17</v>
      </c>
      <c r="B23" s="36" t="s">
        <v>14</v>
      </c>
      <c r="C23" s="131"/>
      <c r="D23" s="127">
        <v>4762</v>
      </c>
      <c r="E23" s="58">
        <f t="shared" si="0"/>
        <v>0</v>
      </c>
      <c r="F23" s="95"/>
    </row>
    <row r="24" spans="1:6" s="6" customFormat="1" ht="15.75">
      <c r="A24" s="30">
        <v>18</v>
      </c>
      <c r="B24" s="34" t="s">
        <v>15</v>
      </c>
      <c r="C24" s="126"/>
      <c r="D24" s="127">
        <v>4762</v>
      </c>
      <c r="E24" s="58">
        <f t="shared" si="0"/>
        <v>0</v>
      </c>
      <c r="F24" s="95"/>
    </row>
    <row r="25" spans="1:6" s="38" customFormat="1" ht="21" customHeight="1">
      <c r="A25" s="29">
        <v>19</v>
      </c>
      <c r="B25" s="36" t="s">
        <v>16</v>
      </c>
      <c r="C25" s="126"/>
      <c r="D25" s="127">
        <v>4762</v>
      </c>
      <c r="E25" s="58">
        <f t="shared" si="0"/>
        <v>0</v>
      </c>
      <c r="F25" s="95"/>
    </row>
    <row r="26" spans="1:6" s="6" customFormat="1" ht="15.75">
      <c r="A26" s="30">
        <v>20</v>
      </c>
      <c r="B26" s="34" t="s">
        <v>17</v>
      </c>
      <c r="C26" s="126">
        <v>65</v>
      </c>
      <c r="D26" s="127">
        <v>4762</v>
      </c>
      <c r="E26" s="58">
        <f t="shared" si="0"/>
        <v>309.5</v>
      </c>
      <c r="F26" s="95"/>
    </row>
    <row r="27" spans="1:6" s="6" customFormat="1" ht="15.75">
      <c r="A27" s="29">
        <v>21</v>
      </c>
      <c r="B27" s="34" t="s">
        <v>18</v>
      </c>
      <c r="C27" s="126">
        <v>63</v>
      </c>
      <c r="D27" s="127">
        <v>4762</v>
      </c>
      <c r="E27" s="58">
        <f t="shared" si="0"/>
        <v>300</v>
      </c>
      <c r="F27" s="95"/>
    </row>
    <row r="28" spans="1:6" s="41" customFormat="1" ht="15" customHeight="1">
      <c r="A28" s="30">
        <v>22</v>
      </c>
      <c r="B28" s="36" t="s">
        <v>19</v>
      </c>
      <c r="C28" s="131">
        <v>7</v>
      </c>
      <c r="D28" s="127">
        <v>4762</v>
      </c>
      <c r="E28" s="58">
        <f t="shared" si="0"/>
        <v>33.3</v>
      </c>
      <c r="F28" s="95"/>
    </row>
    <row r="29" spans="1:6" s="38" customFormat="1" ht="18.75" customHeight="1">
      <c r="A29" s="29">
        <v>23</v>
      </c>
      <c r="B29" s="36" t="s">
        <v>20</v>
      </c>
      <c r="C29" s="126"/>
      <c r="D29" s="127">
        <v>4762</v>
      </c>
      <c r="E29" s="58">
        <f t="shared" si="0"/>
        <v>0</v>
      </c>
      <c r="F29" s="95"/>
    </row>
    <row r="30" spans="1:6" s="6" customFormat="1" ht="15.75">
      <c r="A30" s="30">
        <v>24</v>
      </c>
      <c r="B30" s="34" t="s">
        <v>21</v>
      </c>
      <c r="C30" s="126"/>
      <c r="D30" s="127">
        <v>4762</v>
      </c>
      <c r="E30" s="58">
        <f t="shared" si="0"/>
        <v>0</v>
      </c>
      <c r="F30" s="95"/>
    </row>
    <row r="31" spans="1:6" s="6" customFormat="1" ht="15.75">
      <c r="A31" s="29">
        <v>25</v>
      </c>
      <c r="B31" s="34" t="s">
        <v>22</v>
      </c>
      <c r="C31" s="126"/>
      <c r="D31" s="127">
        <v>4762</v>
      </c>
      <c r="E31" s="58">
        <f t="shared" si="0"/>
        <v>0</v>
      </c>
      <c r="F31" s="95"/>
    </row>
    <row r="32" spans="1:6" s="6" customFormat="1" ht="15.75">
      <c r="A32" s="30">
        <v>26</v>
      </c>
      <c r="B32" s="34" t="s">
        <v>23</v>
      </c>
      <c r="C32" s="126">
        <v>15</v>
      </c>
      <c r="D32" s="127">
        <v>4762</v>
      </c>
      <c r="E32" s="58">
        <f t="shared" si="0"/>
        <v>71.4</v>
      </c>
      <c r="F32" s="95"/>
    </row>
    <row r="33" spans="1:6" s="6" customFormat="1" ht="19.5" customHeight="1">
      <c r="A33" s="29">
        <v>27</v>
      </c>
      <c r="B33" s="34" t="s">
        <v>24</v>
      </c>
      <c r="C33" s="126">
        <v>25</v>
      </c>
      <c r="D33" s="127">
        <v>4762</v>
      </c>
      <c r="E33" s="58">
        <f t="shared" si="0"/>
        <v>119</v>
      </c>
      <c r="F33" s="95"/>
    </row>
    <row r="34" spans="1:6" s="6" customFormat="1" ht="18" customHeight="1">
      <c r="A34" s="30">
        <v>28</v>
      </c>
      <c r="B34" s="34" t="s">
        <v>25</v>
      </c>
      <c r="C34" s="126">
        <v>5</v>
      </c>
      <c r="D34" s="127">
        <v>4762</v>
      </c>
      <c r="E34" s="58">
        <f t="shared" si="0"/>
        <v>23.8</v>
      </c>
      <c r="F34" s="95"/>
    </row>
    <row r="35" spans="1:6" s="41" customFormat="1" ht="18.75" customHeight="1">
      <c r="A35" s="29">
        <v>29</v>
      </c>
      <c r="B35" s="36" t="s">
        <v>26</v>
      </c>
      <c r="C35" s="131">
        <v>2</v>
      </c>
      <c r="D35" s="127">
        <v>4762</v>
      </c>
      <c r="E35" s="58">
        <f t="shared" si="0"/>
        <v>9.5</v>
      </c>
      <c r="F35" s="95"/>
    </row>
    <row r="36" spans="1:6" s="6" customFormat="1" ht="24" customHeight="1">
      <c r="A36" s="30">
        <v>30</v>
      </c>
      <c r="B36" s="34" t="s">
        <v>27</v>
      </c>
      <c r="C36" s="131"/>
      <c r="D36" s="127">
        <v>4762</v>
      </c>
      <c r="E36" s="58">
        <f t="shared" si="0"/>
        <v>0</v>
      </c>
      <c r="F36" s="95"/>
    </row>
    <row r="37" spans="1:6" s="6" customFormat="1" ht="15.75">
      <c r="A37" s="29">
        <v>31</v>
      </c>
      <c r="B37" s="34" t="s">
        <v>28</v>
      </c>
      <c r="C37" s="126"/>
      <c r="D37" s="127">
        <v>4762</v>
      </c>
      <c r="E37" s="58">
        <f t="shared" si="0"/>
        <v>0</v>
      </c>
      <c r="F37" s="95"/>
    </row>
    <row r="38" spans="1:6" s="6" customFormat="1" ht="15.75">
      <c r="A38" s="30">
        <v>32</v>
      </c>
      <c r="B38" s="34" t="s">
        <v>29</v>
      </c>
      <c r="C38" s="126">
        <v>3</v>
      </c>
      <c r="D38" s="127">
        <v>4762</v>
      </c>
      <c r="E38" s="58">
        <f t="shared" si="0"/>
        <v>14.2</v>
      </c>
      <c r="F38" s="95"/>
    </row>
    <row r="39" spans="1:6" s="6" customFormat="1" ht="15.75">
      <c r="A39" s="29">
        <v>33</v>
      </c>
      <c r="B39" s="34" t="s">
        <v>30</v>
      </c>
      <c r="C39" s="126"/>
      <c r="D39" s="127">
        <v>4762</v>
      </c>
      <c r="E39" s="58">
        <f t="shared" si="0"/>
        <v>0</v>
      </c>
      <c r="F39" s="95"/>
    </row>
    <row r="40" spans="1:6" s="6" customFormat="1" ht="15.75">
      <c r="A40" s="30">
        <v>34</v>
      </c>
      <c r="B40" s="34" t="s">
        <v>31</v>
      </c>
      <c r="C40" s="126">
        <v>25</v>
      </c>
      <c r="D40" s="127">
        <v>4762</v>
      </c>
      <c r="E40" s="58">
        <f t="shared" si="0"/>
        <v>119</v>
      </c>
      <c r="F40" s="95"/>
    </row>
    <row r="41" spans="1:6" s="6" customFormat="1" ht="22.5" customHeight="1">
      <c r="A41" s="29">
        <v>35</v>
      </c>
      <c r="B41" s="34" t="s">
        <v>32</v>
      </c>
      <c r="C41" s="126"/>
      <c r="D41" s="127">
        <v>4762</v>
      </c>
      <c r="E41" s="58">
        <f t="shared" si="0"/>
        <v>0</v>
      </c>
      <c r="F41" s="95"/>
    </row>
    <row r="42" spans="1:6" s="6" customFormat="1" ht="21.75" customHeight="1">
      <c r="A42" s="30">
        <v>36</v>
      </c>
      <c r="B42" s="34" t="s">
        <v>33</v>
      </c>
      <c r="C42" s="126">
        <v>10</v>
      </c>
      <c r="D42" s="127">
        <v>4762</v>
      </c>
      <c r="E42" s="58">
        <f t="shared" si="0"/>
        <v>47.6</v>
      </c>
      <c r="F42" s="95"/>
    </row>
    <row r="43" spans="1:6" s="38" customFormat="1" ht="21" customHeight="1">
      <c r="A43" s="29">
        <v>37</v>
      </c>
      <c r="B43" s="36" t="s">
        <v>34</v>
      </c>
      <c r="C43" s="126"/>
      <c r="D43" s="127">
        <v>4762</v>
      </c>
      <c r="E43" s="58">
        <f t="shared" si="0"/>
        <v>0</v>
      </c>
      <c r="F43" s="95"/>
    </row>
    <row r="44" spans="1:6" s="38" customFormat="1" ht="15.75">
      <c r="A44" s="30">
        <v>38</v>
      </c>
      <c r="B44" s="36" t="s">
        <v>35</v>
      </c>
      <c r="C44" s="133"/>
      <c r="D44" s="127">
        <v>4762</v>
      </c>
      <c r="E44" s="58">
        <f t="shared" si="0"/>
        <v>0</v>
      </c>
      <c r="F44" s="95"/>
    </row>
    <row r="45" spans="1:6" s="6" customFormat="1" ht="16.5" thickBot="1">
      <c r="A45" s="29">
        <v>39</v>
      </c>
      <c r="B45" s="43" t="s">
        <v>36</v>
      </c>
      <c r="C45" s="135"/>
      <c r="D45" s="127">
        <v>4762</v>
      </c>
      <c r="E45" s="58">
        <f t="shared" si="0"/>
        <v>0</v>
      </c>
      <c r="F45" s="95"/>
    </row>
    <row r="46" spans="1:5" s="6" customFormat="1" ht="32.25" thickBot="1">
      <c r="A46" s="7"/>
      <c r="B46" s="80" t="s">
        <v>77</v>
      </c>
      <c r="C46" s="8">
        <f>SUM(C7:C45)</f>
        <v>729</v>
      </c>
      <c r="D46" s="3"/>
      <c r="E46" s="58">
        <f>SUM(E7:E45)</f>
        <v>3420.8</v>
      </c>
    </row>
    <row r="47" spans="1:3" s="6" customFormat="1" ht="57" customHeight="1">
      <c r="A47" s="9"/>
      <c r="B47" s="10" t="s">
        <v>71</v>
      </c>
      <c r="C47" s="59"/>
    </row>
    <row r="48" spans="1:3" s="6" customFormat="1" ht="15.75">
      <c r="A48" s="12"/>
      <c r="B48" s="13"/>
      <c r="C48" s="59"/>
    </row>
    <row r="49" spans="1:3" s="6" customFormat="1" ht="15.75">
      <c r="A49" s="12"/>
      <c r="B49" s="13"/>
      <c r="C49" s="59"/>
    </row>
    <row r="50" spans="1:2" s="6" customFormat="1" ht="15.75">
      <c r="A50" s="12"/>
      <c r="B50" s="13"/>
    </row>
    <row r="51" spans="1:2" s="6" customFormat="1" ht="15.75">
      <c r="A51" s="12"/>
      <c r="B51" s="13"/>
    </row>
    <row r="52" spans="1:2" s="6" customFormat="1" ht="15.75">
      <c r="A52" s="12"/>
      <c r="B52" s="15"/>
    </row>
    <row r="53" spans="1:2" s="6" customFormat="1" ht="15.75">
      <c r="A53" s="12"/>
      <c r="B53" s="15"/>
    </row>
    <row r="54" spans="1:2" s="6" customFormat="1" ht="16.5" customHeight="1">
      <c r="A54" s="12"/>
      <c r="B54" s="13"/>
    </row>
    <row r="55" spans="1:2" s="6" customFormat="1" ht="15.75">
      <c r="A55" s="12"/>
      <c r="B55" s="13"/>
    </row>
    <row r="56" spans="1:2" s="6" customFormat="1" ht="15.75">
      <c r="A56" s="12"/>
      <c r="B56" s="13"/>
    </row>
    <row r="57" spans="1:2" s="6" customFormat="1" ht="15.75">
      <c r="A57" s="12"/>
      <c r="B57" s="13"/>
    </row>
    <row r="58" spans="1:2" s="6" customFormat="1" ht="15.75">
      <c r="A58" s="12"/>
      <c r="B58" s="13"/>
    </row>
    <row r="59" spans="1:2" s="6" customFormat="1" ht="15.75">
      <c r="A59" s="12"/>
      <c r="B59" s="13"/>
    </row>
    <row r="60" spans="1:2" s="6" customFormat="1" ht="15.75">
      <c r="A60" s="12"/>
      <c r="B60" s="16"/>
    </row>
    <row r="61" spans="1:2" s="18" customFormat="1" ht="16.5" customHeight="1">
      <c r="A61" s="145"/>
      <c r="B61" s="145"/>
    </row>
    <row r="62" spans="1:2" ht="15.75">
      <c r="A62" s="12"/>
      <c r="B62" s="15"/>
    </row>
    <row r="63" spans="1:2" ht="15.75">
      <c r="A63" s="12"/>
      <c r="B63" s="15"/>
    </row>
    <row r="64" spans="1:2" ht="15.75">
      <c r="A64" s="12"/>
      <c r="B64" s="15"/>
    </row>
    <row r="65" spans="1:2" ht="15.75">
      <c r="A65" s="12"/>
      <c r="B65" s="15"/>
    </row>
    <row r="66" spans="1:2" ht="18" customHeight="1">
      <c r="A66" s="12"/>
      <c r="B66" s="15"/>
    </row>
    <row r="67" spans="1:2" ht="15.75">
      <c r="A67" s="12"/>
      <c r="B67" s="15"/>
    </row>
    <row r="68" spans="1:2" ht="15.75">
      <c r="A68" s="12"/>
      <c r="B68" s="15"/>
    </row>
    <row r="69" spans="1:2" ht="15.75">
      <c r="A69" s="12"/>
      <c r="B69" s="15"/>
    </row>
    <row r="70" spans="1:2" ht="15.75">
      <c r="A70" s="12"/>
      <c r="B70" s="15"/>
    </row>
    <row r="71" spans="1:2" ht="15.75">
      <c r="A71" s="12"/>
      <c r="B71" s="15"/>
    </row>
    <row r="72" spans="1:2" ht="15.75">
      <c r="A72" s="12"/>
      <c r="B72" s="13"/>
    </row>
    <row r="73" spans="1:2" ht="15.75">
      <c r="A73" s="12"/>
      <c r="B73" s="13"/>
    </row>
    <row r="74" spans="1:2" ht="15.75">
      <c r="A74" s="12"/>
      <c r="B74" s="13"/>
    </row>
    <row r="75" spans="1:2" ht="15.75">
      <c r="A75" s="12"/>
      <c r="B75" s="13"/>
    </row>
    <row r="76" spans="1:2" ht="15.75">
      <c r="A76" s="12"/>
      <c r="B76" s="13"/>
    </row>
    <row r="77" spans="1:2" ht="15.75">
      <c r="A77" s="12"/>
      <c r="B77" s="13"/>
    </row>
    <row r="78" spans="1:2" ht="15.75">
      <c r="A78" s="12"/>
      <c r="B78" s="13"/>
    </row>
    <row r="79" spans="1:2" ht="15.75">
      <c r="A79" s="12"/>
      <c r="B79" s="13"/>
    </row>
    <row r="80" spans="1:2" ht="15.75">
      <c r="A80" s="12"/>
      <c r="B80" s="13"/>
    </row>
    <row r="81" spans="1:2" ht="15.75">
      <c r="A81" s="12"/>
      <c r="B81" s="13"/>
    </row>
    <row r="82" spans="1:2" ht="15.75">
      <c r="A82" s="12"/>
      <c r="B82" s="13"/>
    </row>
    <row r="83" spans="1:2" ht="15.75">
      <c r="A83" s="12"/>
      <c r="B83" s="13"/>
    </row>
    <row r="84" spans="1:2" ht="15.75">
      <c r="A84" s="12"/>
      <c r="B84" s="13"/>
    </row>
    <row r="85" spans="1:2" ht="15.75">
      <c r="A85" s="12"/>
      <c r="B85" s="13"/>
    </row>
    <row r="86" spans="1:2" ht="15.75">
      <c r="A86" s="12"/>
      <c r="B86" s="13"/>
    </row>
    <row r="87" spans="1:2" ht="15.75">
      <c r="A87" s="12"/>
      <c r="B87" s="13"/>
    </row>
    <row r="88" spans="1:2" ht="15.75">
      <c r="A88" s="12"/>
      <c r="B88" s="13"/>
    </row>
    <row r="89" spans="1:2" ht="15.75">
      <c r="A89" s="12"/>
      <c r="B89" s="13"/>
    </row>
    <row r="90" spans="1:2" ht="15.75">
      <c r="A90" s="12"/>
      <c r="B90" s="13"/>
    </row>
    <row r="91" spans="1:2" ht="15.75">
      <c r="A91" s="12"/>
      <c r="B91" s="13"/>
    </row>
    <row r="92" spans="1:2" ht="15.75">
      <c r="A92" s="12"/>
      <c r="B92" s="13"/>
    </row>
    <row r="93" spans="1:2" ht="15.75">
      <c r="A93" s="12"/>
      <c r="B93" s="13"/>
    </row>
    <row r="94" spans="1:2" ht="15.75">
      <c r="A94" s="12"/>
      <c r="B94" s="13"/>
    </row>
    <row r="95" spans="1:2" ht="15.75">
      <c r="A95" s="12"/>
      <c r="B95" s="13"/>
    </row>
    <row r="96" spans="1:2" ht="15.75">
      <c r="A96" s="12"/>
      <c r="B96" s="13"/>
    </row>
    <row r="97" spans="1:2" ht="15.75">
      <c r="A97" s="12"/>
      <c r="B97" s="13"/>
    </row>
    <row r="98" spans="1:2" ht="15.75">
      <c r="A98" s="12"/>
      <c r="B98" s="13"/>
    </row>
    <row r="99" spans="1:2" ht="15.75">
      <c r="A99" s="12"/>
      <c r="B99" s="13"/>
    </row>
    <row r="100" spans="1:2" ht="15.75">
      <c r="A100" s="12"/>
      <c r="B100" s="13"/>
    </row>
    <row r="101" spans="1:2" ht="15.75">
      <c r="A101" s="12"/>
      <c r="B101" s="13"/>
    </row>
    <row r="102" spans="1:2" ht="15.75">
      <c r="A102" s="12"/>
      <c r="B102" s="13"/>
    </row>
    <row r="103" spans="1:2" ht="15.75">
      <c r="A103" s="12"/>
      <c r="B103" s="13"/>
    </row>
    <row r="104" spans="1:2" ht="15.75">
      <c r="A104" s="12"/>
      <c r="B104" s="13"/>
    </row>
    <row r="105" spans="1:2" ht="15.75">
      <c r="A105" s="12"/>
      <c r="B105" s="13"/>
    </row>
    <row r="106" spans="1:2" ht="15.75">
      <c r="A106" s="20"/>
      <c r="B106" s="21"/>
    </row>
    <row r="107" spans="1:2" ht="18.75">
      <c r="A107" s="22"/>
      <c r="B107" s="22"/>
    </row>
    <row r="108" spans="1:2" ht="12.75">
      <c r="A108" s="20"/>
      <c r="B108" s="20"/>
    </row>
  </sheetData>
  <sheetProtection/>
  <mergeCells count="9">
    <mergeCell ref="D2:D6"/>
    <mergeCell ref="E2:E6"/>
    <mergeCell ref="C5:C6"/>
    <mergeCell ref="A61:B61"/>
    <mergeCell ref="A1:B1"/>
    <mergeCell ref="A2:A6"/>
    <mergeCell ref="B2:B4"/>
    <mergeCell ref="B5:B6"/>
    <mergeCell ref="C2:C3"/>
  </mergeCells>
  <printOptions horizontalCentered="1"/>
  <pageMargins left="0" right="0" top="0.5905511811023623" bottom="0" header="0" footer="0"/>
  <pageSetup horizontalDpi="600" verticalDpi="600" orientation="portrait" paperSize="9" scale="71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07"/>
  <sheetViews>
    <sheetView view="pageBreakPreview" zoomScale="71" zoomScaleNormal="74" zoomScaleSheetLayoutView="71" zoomScalePageLayoutView="0" workbookViewId="0" topLeftCell="A7">
      <selection activeCell="E2" sqref="E2:E5"/>
    </sheetView>
  </sheetViews>
  <sheetFormatPr defaultColWidth="9.140625" defaultRowHeight="12.75"/>
  <cols>
    <col min="1" max="1" width="9.00390625" style="4" customWidth="1"/>
    <col min="2" max="2" width="36.140625" style="4" customWidth="1"/>
    <col min="3" max="3" width="31.7109375" style="19" customWidth="1"/>
    <col min="4" max="4" width="25.00390625" style="19" customWidth="1"/>
    <col min="5" max="5" width="24.28125" style="19" customWidth="1"/>
    <col min="6" max="16384" width="9.140625" style="19" customWidth="1"/>
  </cols>
  <sheetData>
    <row r="1" spans="1:5" s="6" customFormat="1" ht="18.75">
      <c r="A1" s="166"/>
      <c r="B1" s="166"/>
      <c r="E1" s="6" t="s">
        <v>92</v>
      </c>
    </row>
    <row r="2" spans="1:5" s="83" customFormat="1" ht="15.75" customHeight="1">
      <c r="A2" s="172" t="s">
        <v>81</v>
      </c>
      <c r="B2" s="143" t="s">
        <v>74</v>
      </c>
      <c r="C2" s="142" t="s">
        <v>83</v>
      </c>
      <c r="D2" s="156" t="s">
        <v>61</v>
      </c>
      <c r="E2" s="156" t="s">
        <v>84</v>
      </c>
    </row>
    <row r="3" spans="1:5" s="83" customFormat="1" ht="51.75" customHeight="1">
      <c r="A3" s="172"/>
      <c r="B3" s="144"/>
      <c r="C3" s="142"/>
      <c r="D3" s="156"/>
      <c r="E3" s="156"/>
    </row>
    <row r="4" spans="1:5" s="83" customFormat="1" ht="102.75" customHeight="1">
      <c r="A4" s="172"/>
      <c r="B4" s="144"/>
      <c r="C4" s="91" t="s">
        <v>51</v>
      </c>
      <c r="D4" s="156"/>
      <c r="E4" s="156"/>
    </row>
    <row r="5" spans="1:5" s="83" customFormat="1" ht="65.25" customHeight="1">
      <c r="A5" s="172"/>
      <c r="B5" s="89" t="s">
        <v>73</v>
      </c>
      <c r="C5" s="90" t="s">
        <v>46</v>
      </c>
      <c r="D5" s="156"/>
      <c r="E5" s="156"/>
    </row>
    <row r="6" spans="1:5" s="6" customFormat="1" ht="15.75">
      <c r="A6" s="26">
        <v>1</v>
      </c>
      <c r="B6" s="27" t="s">
        <v>0</v>
      </c>
      <c r="C6" s="28">
        <v>407</v>
      </c>
      <c r="D6" s="60">
        <v>509</v>
      </c>
      <c r="E6" s="65">
        <f>ROUNDDOWN(C6*D6/1000,1)</f>
        <v>207.1</v>
      </c>
    </row>
    <row r="7" spans="1:5" s="6" customFormat="1" ht="15.75">
      <c r="A7" s="29">
        <v>2</v>
      </c>
      <c r="B7" s="27" t="s">
        <v>60</v>
      </c>
      <c r="C7" s="28">
        <v>368</v>
      </c>
      <c r="D7" s="60">
        <v>509</v>
      </c>
      <c r="E7" s="65">
        <f aca="true" t="shared" si="0" ref="E7:E44">ROUNDDOWN(C7*D7/1000,1)</f>
        <v>187.3</v>
      </c>
    </row>
    <row r="8" spans="1:5" s="6" customFormat="1" ht="15.75">
      <c r="A8" s="29">
        <v>3</v>
      </c>
      <c r="B8" s="27" t="s">
        <v>1</v>
      </c>
      <c r="C8" s="28">
        <v>310</v>
      </c>
      <c r="D8" s="60">
        <v>509</v>
      </c>
      <c r="E8" s="65">
        <f t="shared" si="0"/>
        <v>157.7</v>
      </c>
    </row>
    <row r="9" spans="1:5" s="6" customFormat="1" ht="15.75">
      <c r="A9" s="29">
        <v>4</v>
      </c>
      <c r="B9" s="27" t="s">
        <v>2</v>
      </c>
      <c r="C9" s="28">
        <v>224</v>
      </c>
      <c r="D9" s="60">
        <v>509</v>
      </c>
      <c r="E9" s="65">
        <f t="shared" si="0"/>
        <v>114</v>
      </c>
    </row>
    <row r="10" spans="1:5" s="6" customFormat="1" ht="15.75">
      <c r="A10" s="29">
        <v>5</v>
      </c>
      <c r="B10" s="27" t="s">
        <v>59</v>
      </c>
      <c r="C10" s="28">
        <v>20</v>
      </c>
      <c r="D10" s="60">
        <v>509</v>
      </c>
      <c r="E10" s="65">
        <f t="shared" si="0"/>
        <v>10.1</v>
      </c>
    </row>
    <row r="11" spans="1:5" s="6" customFormat="1" ht="15.75">
      <c r="A11" s="29">
        <v>6</v>
      </c>
      <c r="B11" s="27" t="s">
        <v>3</v>
      </c>
      <c r="C11" s="28">
        <v>52</v>
      </c>
      <c r="D11" s="60">
        <v>509</v>
      </c>
      <c r="E11" s="65">
        <f t="shared" si="0"/>
        <v>26.4</v>
      </c>
    </row>
    <row r="12" spans="1:5" s="6" customFormat="1" ht="15.75" customHeight="1">
      <c r="A12" s="29">
        <v>7</v>
      </c>
      <c r="B12" s="27" t="s">
        <v>4</v>
      </c>
      <c r="C12" s="28">
        <v>831</v>
      </c>
      <c r="D12" s="60">
        <v>509</v>
      </c>
      <c r="E12" s="65">
        <f t="shared" si="0"/>
        <v>422.9</v>
      </c>
    </row>
    <row r="13" spans="1:5" s="32" customFormat="1" ht="15.75">
      <c r="A13" s="30">
        <v>8</v>
      </c>
      <c r="B13" s="31" t="s">
        <v>5</v>
      </c>
      <c r="C13" s="28">
        <v>165</v>
      </c>
      <c r="D13" s="60">
        <v>509</v>
      </c>
      <c r="E13" s="65">
        <f t="shared" si="0"/>
        <v>83.9</v>
      </c>
    </row>
    <row r="14" spans="1:5" s="6" customFormat="1" ht="15.75">
      <c r="A14" s="29">
        <v>9</v>
      </c>
      <c r="B14" s="27" t="s">
        <v>6</v>
      </c>
      <c r="C14" s="28">
        <v>37</v>
      </c>
      <c r="D14" s="60">
        <v>1361</v>
      </c>
      <c r="E14" s="65">
        <f t="shared" si="0"/>
        <v>50.3</v>
      </c>
    </row>
    <row r="15" spans="1:5" s="6" customFormat="1" ht="15.75">
      <c r="A15" s="30">
        <v>10</v>
      </c>
      <c r="B15" s="34" t="s">
        <v>7</v>
      </c>
      <c r="C15" s="28">
        <v>183</v>
      </c>
      <c r="D15" s="60">
        <v>1361</v>
      </c>
      <c r="E15" s="65">
        <f t="shared" si="0"/>
        <v>249</v>
      </c>
    </row>
    <row r="16" spans="1:5" s="6" customFormat="1" ht="15.75">
      <c r="A16" s="29">
        <v>11</v>
      </c>
      <c r="B16" s="34" t="s">
        <v>8</v>
      </c>
      <c r="C16" s="28">
        <v>98</v>
      </c>
      <c r="D16" s="60">
        <v>1361</v>
      </c>
      <c r="E16" s="65">
        <f t="shared" si="0"/>
        <v>133.3</v>
      </c>
    </row>
    <row r="17" spans="1:5" s="6" customFormat="1" ht="15.75">
      <c r="A17" s="30">
        <v>12</v>
      </c>
      <c r="B17" s="34" t="s">
        <v>9</v>
      </c>
      <c r="C17" s="28">
        <v>234</v>
      </c>
      <c r="D17" s="60">
        <v>1361</v>
      </c>
      <c r="E17" s="65">
        <f t="shared" si="0"/>
        <v>318.4</v>
      </c>
    </row>
    <row r="18" spans="1:5" s="6" customFormat="1" ht="15.75">
      <c r="A18" s="29">
        <v>13</v>
      </c>
      <c r="B18" s="34" t="s">
        <v>10</v>
      </c>
      <c r="C18" s="28">
        <v>633</v>
      </c>
      <c r="D18" s="60">
        <v>1361</v>
      </c>
      <c r="E18" s="65">
        <f t="shared" si="0"/>
        <v>861.5</v>
      </c>
    </row>
    <row r="19" spans="1:5" s="6" customFormat="1" ht="19.5" customHeight="1">
      <c r="A19" s="30">
        <v>14</v>
      </c>
      <c r="B19" s="34" t="s">
        <v>11</v>
      </c>
      <c r="C19" s="28">
        <v>68</v>
      </c>
      <c r="D19" s="60">
        <v>1361</v>
      </c>
      <c r="E19" s="65">
        <f t="shared" si="0"/>
        <v>92.5</v>
      </c>
    </row>
    <row r="20" spans="1:5" s="6" customFormat="1" ht="15.75">
      <c r="A20" s="29">
        <v>15</v>
      </c>
      <c r="B20" s="34" t="s">
        <v>12</v>
      </c>
      <c r="C20" s="28">
        <v>180</v>
      </c>
      <c r="D20" s="60">
        <v>1361</v>
      </c>
      <c r="E20" s="65">
        <f t="shared" si="0"/>
        <v>244.9</v>
      </c>
    </row>
    <row r="21" spans="1:5" s="38" customFormat="1" ht="25.5" customHeight="1">
      <c r="A21" s="30">
        <v>16</v>
      </c>
      <c r="B21" s="36" t="s">
        <v>13</v>
      </c>
      <c r="C21" s="28">
        <v>157</v>
      </c>
      <c r="D21" s="60">
        <v>1361</v>
      </c>
      <c r="E21" s="65">
        <f t="shared" si="0"/>
        <v>213.6</v>
      </c>
    </row>
    <row r="22" spans="1:5" s="41" customFormat="1" ht="19.5" customHeight="1">
      <c r="A22" s="29">
        <v>17</v>
      </c>
      <c r="B22" s="36" t="s">
        <v>14</v>
      </c>
      <c r="C22" s="39">
        <v>27</v>
      </c>
      <c r="D22" s="60">
        <v>1361</v>
      </c>
      <c r="E22" s="65">
        <f t="shared" si="0"/>
        <v>36.7</v>
      </c>
    </row>
    <row r="23" spans="1:5" s="6" customFormat="1" ht="15.75">
      <c r="A23" s="30">
        <v>18</v>
      </c>
      <c r="B23" s="34" t="s">
        <v>15</v>
      </c>
      <c r="C23" s="28">
        <v>70</v>
      </c>
      <c r="D23" s="60">
        <v>1361</v>
      </c>
      <c r="E23" s="65">
        <f t="shared" si="0"/>
        <v>95.2</v>
      </c>
    </row>
    <row r="24" spans="1:5" s="38" customFormat="1" ht="21" customHeight="1">
      <c r="A24" s="29">
        <v>19</v>
      </c>
      <c r="B24" s="36" t="s">
        <v>16</v>
      </c>
      <c r="C24" s="28">
        <v>245</v>
      </c>
      <c r="D24" s="60">
        <v>1361</v>
      </c>
      <c r="E24" s="65">
        <f t="shared" si="0"/>
        <v>333.4</v>
      </c>
    </row>
    <row r="25" spans="1:5" s="6" customFormat="1" ht="15.75">
      <c r="A25" s="30">
        <v>20</v>
      </c>
      <c r="B25" s="34" t="s">
        <v>17</v>
      </c>
      <c r="C25" s="28">
        <v>180</v>
      </c>
      <c r="D25" s="60">
        <v>1361</v>
      </c>
      <c r="E25" s="65">
        <f t="shared" si="0"/>
        <v>244.9</v>
      </c>
    </row>
    <row r="26" spans="1:5" s="6" customFormat="1" ht="15.75">
      <c r="A26" s="29">
        <v>21</v>
      </c>
      <c r="B26" s="34" t="s">
        <v>18</v>
      </c>
      <c r="C26" s="28">
        <v>63</v>
      </c>
      <c r="D26" s="60">
        <v>1361</v>
      </c>
      <c r="E26" s="65">
        <f t="shared" si="0"/>
        <v>85.7</v>
      </c>
    </row>
    <row r="27" spans="1:5" s="41" customFormat="1" ht="15" customHeight="1">
      <c r="A27" s="30">
        <v>22</v>
      </c>
      <c r="B27" s="36" t="s">
        <v>19</v>
      </c>
      <c r="C27" s="39">
        <v>260</v>
      </c>
      <c r="D27" s="60">
        <v>1361</v>
      </c>
      <c r="E27" s="65">
        <f t="shared" si="0"/>
        <v>353.8</v>
      </c>
    </row>
    <row r="28" spans="1:5" s="38" customFormat="1" ht="18.75" customHeight="1">
      <c r="A28" s="29">
        <v>23</v>
      </c>
      <c r="B28" s="36" t="s">
        <v>20</v>
      </c>
      <c r="C28" s="28">
        <v>22</v>
      </c>
      <c r="D28" s="60">
        <v>1361</v>
      </c>
      <c r="E28" s="65">
        <f t="shared" si="0"/>
        <v>29.9</v>
      </c>
    </row>
    <row r="29" spans="1:5" s="6" customFormat="1" ht="15.75">
      <c r="A29" s="30">
        <v>24</v>
      </c>
      <c r="B29" s="34" t="s">
        <v>21</v>
      </c>
      <c r="C29" s="28">
        <v>39</v>
      </c>
      <c r="D29" s="60">
        <v>1361</v>
      </c>
      <c r="E29" s="65">
        <f t="shared" si="0"/>
        <v>53</v>
      </c>
    </row>
    <row r="30" spans="1:5" s="6" customFormat="1" ht="15.75">
      <c r="A30" s="29">
        <v>25</v>
      </c>
      <c r="B30" s="34" t="s">
        <v>22</v>
      </c>
      <c r="C30" s="28">
        <v>40</v>
      </c>
      <c r="D30" s="60">
        <v>1361</v>
      </c>
      <c r="E30" s="65">
        <f t="shared" si="0"/>
        <v>54.4</v>
      </c>
    </row>
    <row r="31" spans="1:5" s="6" customFormat="1" ht="15.75">
      <c r="A31" s="30">
        <v>26</v>
      </c>
      <c r="B31" s="34" t="s">
        <v>23</v>
      </c>
      <c r="C31" s="28">
        <v>112</v>
      </c>
      <c r="D31" s="60">
        <v>1361</v>
      </c>
      <c r="E31" s="65">
        <f t="shared" si="0"/>
        <v>152.4</v>
      </c>
    </row>
    <row r="32" spans="1:5" s="6" customFormat="1" ht="19.5" customHeight="1">
      <c r="A32" s="29">
        <v>27</v>
      </c>
      <c r="B32" s="34" t="s">
        <v>24</v>
      </c>
      <c r="C32" s="28">
        <v>113</v>
      </c>
      <c r="D32" s="60">
        <v>1361</v>
      </c>
      <c r="E32" s="65">
        <f t="shared" si="0"/>
        <v>153.7</v>
      </c>
    </row>
    <row r="33" spans="1:5" s="6" customFormat="1" ht="18" customHeight="1">
      <c r="A33" s="30">
        <v>28</v>
      </c>
      <c r="B33" s="34" t="s">
        <v>25</v>
      </c>
      <c r="C33" s="28">
        <v>53</v>
      </c>
      <c r="D33" s="60">
        <v>1361</v>
      </c>
      <c r="E33" s="65">
        <f t="shared" si="0"/>
        <v>72.1</v>
      </c>
    </row>
    <row r="34" spans="1:5" s="41" customFormat="1" ht="18.75" customHeight="1">
      <c r="A34" s="29">
        <v>29</v>
      </c>
      <c r="B34" s="36" t="s">
        <v>26</v>
      </c>
      <c r="C34" s="39">
        <v>40</v>
      </c>
      <c r="D34" s="60">
        <v>1361</v>
      </c>
      <c r="E34" s="65">
        <f t="shared" si="0"/>
        <v>54.4</v>
      </c>
    </row>
    <row r="35" spans="1:5" s="6" customFormat="1" ht="24" customHeight="1">
      <c r="A35" s="30">
        <v>30</v>
      </c>
      <c r="B35" s="34" t="s">
        <v>27</v>
      </c>
      <c r="C35" s="28">
        <v>43</v>
      </c>
      <c r="D35" s="60">
        <v>1361</v>
      </c>
      <c r="E35" s="65">
        <f t="shared" si="0"/>
        <v>58.5</v>
      </c>
    </row>
    <row r="36" spans="1:5" s="6" customFormat="1" ht="15.75">
      <c r="A36" s="29">
        <v>31</v>
      </c>
      <c r="B36" s="34" t="s">
        <v>28</v>
      </c>
      <c r="C36" s="28">
        <v>108</v>
      </c>
      <c r="D36" s="60">
        <v>1361</v>
      </c>
      <c r="E36" s="65">
        <f t="shared" si="0"/>
        <v>146.9</v>
      </c>
    </row>
    <row r="37" spans="1:5" s="6" customFormat="1" ht="15.75">
      <c r="A37" s="30">
        <v>32</v>
      </c>
      <c r="B37" s="34" t="s">
        <v>29</v>
      </c>
      <c r="C37" s="28">
        <v>70</v>
      </c>
      <c r="D37" s="60">
        <v>1361</v>
      </c>
      <c r="E37" s="65">
        <f t="shared" si="0"/>
        <v>95.2</v>
      </c>
    </row>
    <row r="38" spans="1:5" s="6" customFormat="1" ht="15.75">
      <c r="A38" s="29">
        <v>33</v>
      </c>
      <c r="B38" s="34" t="s">
        <v>30</v>
      </c>
      <c r="C38" s="28">
        <v>40</v>
      </c>
      <c r="D38" s="60">
        <v>1361</v>
      </c>
      <c r="E38" s="65">
        <f t="shared" si="0"/>
        <v>54.4</v>
      </c>
    </row>
    <row r="39" spans="1:5" s="6" customFormat="1" ht="15.75">
      <c r="A39" s="30">
        <v>34</v>
      </c>
      <c r="B39" s="34" t="s">
        <v>31</v>
      </c>
      <c r="C39" s="28">
        <v>118</v>
      </c>
      <c r="D39" s="60">
        <v>1361</v>
      </c>
      <c r="E39" s="65">
        <f t="shared" si="0"/>
        <v>160.5</v>
      </c>
    </row>
    <row r="40" spans="1:5" s="6" customFormat="1" ht="22.5" customHeight="1">
      <c r="A40" s="29">
        <v>35</v>
      </c>
      <c r="B40" s="34" t="s">
        <v>32</v>
      </c>
      <c r="C40" s="28">
        <v>7</v>
      </c>
      <c r="D40" s="60">
        <v>1361</v>
      </c>
      <c r="E40" s="65">
        <f t="shared" si="0"/>
        <v>9.5</v>
      </c>
    </row>
    <row r="41" spans="1:5" s="6" customFormat="1" ht="21.75" customHeight="1">
      <c r="A41" s="30">
        <v>36</v>
      </c>
      <c r="B41" s="34" t="s">
        <v>33</v>
      </c>
      <c r="C41" s="28">
        <v>180</v>
      </c>
      <c r="D41" s="60">
        <v>1361</v>
      </c>
      <c r="E41" s="65">
        <f t="shared" si="0"/>
        <v>244.9</v>
      </c>
    </row>
    <row r="42" spans="1:5" s="38" customFormat="1" ht="21" customHeight="1">
      <c r="A42" s="29">
        <v>37</v>
      </c>
      <c r="B42" s="36" t="s">
        <v>34</v>
      </c>
      <c r="C42" s="28">
        <v>85</v>
      </c>
      <c r="D42" s="60">
        <v>1361</v>
      </c>
      <c r="E42" s="65">
        <f t="shared" si="0"/>
        <v>115.6</v>
      </c>
    </row>
    <row r="43" spans="1:5" s="38" customFormat="1" ht="15.75">
      <c r="A43" s="30">
        <v>38</v>
      </c>
      <c r="B43" s="36" t="s">
        <v>35</v>
      </c>
      <c r="C43" s="42">
        <v>45</v>
      </c>
      <c r="D43" s="60">
        <v>1361</v>
      </c>
      <c r="E43" s="65">
        <f t="shared" si="0"/>
        <v>61.2</v>
      </c>
    </row>
    <row r="44" spans="1:5" s="6" customFormat="1" ht="16.5" thickBot="1">
      <c r="A44" s="29">
        <v>39</v>
      </c>
      <c r="B44" s="43" t="s">
        <v>36</v>
      </c>
      <c r="C44" s="73">
        <v>28</v>
      </c>
      <c r="D44" s="60">
        <v>1361</v>
      </c>
      <c r="E44" s="65">
        <f t="shared" si="0"/>
        <v>38.1</v>
      </c>
    </row>
    <row r="45" spans="1:5" s="6" customFormat="1" ht="32.25" thickBot="1">
      <c r="A45" s="7"/>
      <c r="B45" s="80" t="s">
        <v>77</v>
      </c>
      <c r="C45" s="8">
        <f>SUM(C6:C44)</f>
        <v>5955</v>
      </c>
      <c r="D45" s="3"/>
      <c r="E45" s="55">
        <f>SUM(E6:E44)</f>
        <v>6077.299999999998</v>
      </c>
    </row>
    <row r="46" spans="1:5" s="6" customFormat="1" ht="18" customHeight="1">
      <c r="A46" s="9"/>
      <c r="B46" s="10"/>
      <c r="C46" s="61">
        <f>SUM(C6:C13)</f>
        <v>2377</v>
      </c>
      <c r="D46" s="64">
        <f>C46/8</f>
        <v>297.125</v>
      </c>
      <c r="E46" s="56"/>
    </row>
    <row r="47" spans="1:4" s="6" customFormat="1" ht="15.75">
      <c r="A47" s="12"/>
      <c r="B47" s="63" t="s">
        <v>64</v>
      </c>
      <c r="D47" s="61"/>
    </row>
    <row r="48" spans="1:4" s="6" customFormat="1" ht="15.75">
      <c r="A48" s="12"/>
      <c r="B48" s="13" t="s">
        <v>65</v>
      </c>
      <c r="C48" s="62">
        <f>C45-C46</f>
        <v>3578</v>
      </c>
      <c r="D48" s="64">
        <f>C48/31</f>
        <v>115.41935483870968</v>
      </c>
    </row>
    <row r="49" spans="1:2" s="6" customFormat="1" ht="15.75">
      <c r="A49" s="12"/>
      <c r="B49" s="13"/>
    </row>
    <row r="50" spans="1:2" s="6" customFormat="1" ht="15.75">
      <c r="A50" s="12"/>
      <c r="B50" s="13"/>
    </row>
    <row r="51" spans="1:2" s="6" customFormat="1" ht="15.75">
      <c r="A51" s="12"/>
      <c r="B51" s="15"/>
    </row>
    <row r="52" spans="1:2" s="6" customFormat="1" ht="15.75">
      <c r="A52" s="12"/>
      <c r="B52" s="15"/>
    </row>
    <row r="53" spans="1:2" s="6" customFormat="1" ht="16.5" customHeight="1">
      <c r="A53" s="12"/>
      <c r="B53" s="13"/>
    </row>
    <row r="54" spans="1:2" s="6" customFormat="1" ht="15.75">
      <c r="A54" s="12"/>
      <c r="B54" s="13"/>
    </row>
    <row r="55" spans="1:2" s="6" customFormat="1" ht="15.75">
      <c r="A55" s="12"/>
      <c r="B55" s="13"/>
    </row>
    <row r="56" spans="1:2" s="6" customFormat="1" ht="15.75">
      <c r="A56" s="12"/>
      <c r="B56" s="13"/>
    </row>
    <row r="57" spans="1:2" s="6" customFormat="1" ht="15.75">
      <c r="A57" s="12"/>
      <c r="B57" s="13"/>
    </row>
    <row r="58" spans="1:2" s="6" customFormat="1" ht="15.75">
      <c r="A58" s="12"/>
      <c r="B58" s="13"/>
    </row>
    <row r="59" spans="1:2" s="6" customFormat="1" ht="15.75">
      <c r="A59" s="12"/>
      <c r="B59" s="16"/>
    </row>
    <row r="60" spans="1:2" s="18" customFormat="1" ht="16.5" customHeight="1">
      <c r="A60" s="145"/>
      <c r="B60" s="145"/>
    </row>
    <row r="61" spans="1:2" ht="15.75">
      <c r="A61" s="12"/>
      <c r="B61" s="15"/>
    </row>
    <row r="62" spans="1:2" ht="15.75">
      <c r="A62" s="12"/>
      <c r="B62" s="15"/>
    </row>
    <row r="63" spans="1:2" ht="15.75">
      <c r="A63" s="12"/>
      <c r="B63" s="15"/>
    </row>
    <row r="64" spans="1:2" ht="15.75">
      <c r="A64" s="12"/>
      <c r="B64" s="15"/>
    </row>
    <row r="65" spans="1:2" ht="18" customHeight="1">
      <c r="A65" s="12"/>
      <c r="B65" s="15"/>
    </row>
    <row r="66" spans="1:2" ht="15.75">
      <c r="A66" s="12"/>
      <c r="B66" s="15"/>
    </row>
    <row r="67" spans="1:2" ht="15.75">
      <c r="A67" s="12"/>
      <c r="B67" s="15"/>
    </row>
    <row r="68" spans="1:2" ht="15.75">
      <c r="A68" s="12"/>
      <c r="B68" s="15"/>
    </row>
    <row r="69" spans="1:2" ht="15.75">
      <c r="A69" s="12"/>
      <c r="B69" s="15"/>
    </row>
    <row r="70" spans="1:2" ht="15.75">
      <c r="A70" s="12"/>
      <c r="B70" s="15"/>
    </row>
    <row r="71" spans="1:2" ht="15.75">
      <c r="A71" s="12"/>
      <c r="B71" s="13"/>
    </row>
    <row r="72" spans="1:2" ht="15.75">
      <c r="A72" s="12"/>
      <c r="B72" s="13"/>
    </row>
    <row r="73" spans="1:2" ht="15.75">
      <c r="A73" s="12"/>
      <c r="B73" s="13"/>
    </row>
    <row r="74" spans="1:2" ht="15.75">
      <c r="A74" s="12"/>
      <c r="B74" s="13"/>
    </row>
    <row r="75" spans="1:2" ht="15.75">
      <c r="A75" s="12"/>
      <c r="B75" s="13"/>
    </row>
    <row r="76" spans="1:2" ht="15.75">
      <c r="A76" s="12"/>
      <c r="B76" s="13"/>
    </row>
    <row r="77" spans="1:2" ht="15.75">
      <c r="A77" s="12"/>
      <c r="B77" s="13"/>
    </row>
    <row r="78" spans="1:2" ht="15.75">
      <c r="A78" s="12"/>
      <c r="B78" s="13"/>
    </row>
    <row r="79" spans="1:2" ht="15.75">
      <c r="A79" s="12"/>
      <c r="B79" s="13"/>
    </row>
    <row r="80" spans="1:2" ht="15.75">
      <c r="A80" s="12"/>
      <c r="B80" s="13"/>
    </row>
    <row r="81" spans="1:2" ht="15.75">
      <c r="A81" s="12"/>
      <c r="B81" s="13"/>
    </row>
    <row r="82" spans="1:2" ht="15.75">
      <c r="A82" s="12"/>
      <c r="B82" s="13"/>
    </row>
    <row r="83" spans="1:2" ht="15.75">
      <c r="A83" s="12"/>
      <c r="B83" s="13"/>
    </row>
    <row r="84" spans="1:2" ht="15.75">
      <c r="A84" s="12"/>
      <c r="B84" s="13"/>
    </row>
    <row r="85" spans="1:2" ht="15.75">
      <c r="A85" s="12"/>
      <c r="B85" s="13"/>
    </row>
    <row r="86" spans="1:2" ht="15.75">
      <c r="A86" s="12"/>
      <c r="B86" s="13"/>
    </row>
    <row r="87" spans="1:2" ht="15.75">
      <c r="A87" s="12"/>
      <c r="B87" s="13"/>
    </row>
    <row r="88" spans="1:2" ht="15.75">
      <c r="A88" s="12"/>
      <c r="B88" s="13"/>
    </row>
    <row r="89" spans="1:2" ht="15.75">
      <c r="A89" s="12"/>
      <c r="B89" s="13"/>
    </row>
    <row r="90" spans="1:2" ht="15.75">
      <c r="A90" s="12"/>
      <c r="B90" s="13"/>
    </row>
    <row r="91" spans="1:2" ht="15.75">
      <c r="A91" s="12"/>
      <c r="B91" s="13"/>
    </row>
    <row r="92" spans="1:2" ht="15.75">
      <c r="A92" s="12"/>
      <c r="B92" s="13"/>
    </row>
    <row r="93" spans="1:2" ht="15.75">
      <c r="A93" s="12"/>
      <c r="B93" s="13"/>
    </row>
    <row r="94" spans="1:2" ht="15.75">
      <c r="A94" s="12"/>
      <c r="B94" s="13"/>
    </row>
    <row r="95" spans="1:2" ht="15.75">
      <c r="A95" s="12"/>
      <c r="B95" s="13"/>
    </row>
    <row r="96" spans="1:2" ht="15.75">
      <c r="A96" s="12"/>
      <c r="B96" s="13"/>
    </row>
    <row r="97" spans="1:2" ht="15.75">
      <c r="A97" s="12"/>
      <c r="B97" s="13"/>
    </row>
    <row r="98" spans="1:2" ht="15.75">
      <c r="A98" s="12"/>
      <c r="B98" s="13"/>
    </row>
    <row r="99" spans="1:2" ht="15.75">
      <c r="A99" s="12"/>
      <c r="B99" s="13"/>
    </row>
    <row r="100" spans="1:2" ht="15.75">
      <c r="A100" s="12"/>
      <c r="B100" s="13"/>
    </row>
    <row r="101" spans="1:2" ht="15.75">
      <c r="A101" s="12"/>
      <c r="B101" s="13"/>
    </row>
    <row r="102" spans="1:2" ht="15.75">
      <c r="A102" s="12"/>
      <c r="B102" s="13"/>
    </row>
    <row r="103" spans="1:2" ht="15.75">
      <c r="A103" s="12"/>
      <c r="B103" s="13"/>
    </row>
    <row r="104" spans="1:2" ht="15.75">
      <c r="A104" s="12"/>
      <c r="B104" s="13"/>
    </row>
    <row r="105" spans="1:2" ht="15.75">
      <c r="A105" s="20"/>
      <c r="B105" s="21"/>
    </row>
    <row r="106" spans="1:2" ht="18.75">
      <c r="A106" s="22"/>
      <c r="B106" s="22"/>
    </row>
    <row r="107" spans="1:2" ht="12.75">
      <c r="A107" s="20"/>
      <c r="B107" s="20"/>
    </row>
  </sheetData>
  <sheetProtection/>
  <mergeCells count="7">
    <mergeCell ref="C2:C3"/>
    <mergeCell ref="D2:D5"/>
    <mergeCell ref="E2:E5"/>
    <mergeCell ref="A60:B60"/>
    <mergeCell ref="A1:B1"/>
    <mergeCell ref="A2:A5"/>
    <mergeCell ref="B2:B4"/>
  </mergeCells>
  <printOptions horizontalCentered="1"/>
  <pageMargins left="0" right="0" top="0.5905511811023623" bottom="0" header="0" footer="0"/>
  <pageSetup horizontalDpi="600" verticalDpi="600" orientation="portrait" paperSize="9" scale="71" r:id="rId1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zoomScale="60" zoomScaleNormal="79" zoomScalePageLayoutView="0" workbookViewId="0" topLeftCell="A13">
      <selection activeCell="C3" sqref="C3:D3"/>
    </sheetView>
  </sheetViews>
  <sheetFormatPr defaultColWidth="9.140625" defaultRowHeight="12.75"/>
  <cols>
    <col min="1" max="1" width="9.00390625" style="4" customWidth="1"/>
    <col min="2" max="2" width="36.140625" style="4" customWidth="1"/>
    <col min="3" max="3" width="35.421875" style="19" customWidth="1"/>
    <col min="4" max="4" width="41.140625" style="19" customWidth="1"/>
    <col min="5" max="5" width="19.421875" style="19" customWidth="1"/>
    <col min="6" max="6" width="16.421875" style="19" customWidth="1"/>
    <col min="7" max="16384" width="9.140625" style="19" customWidth="1"/>
  </cols>
  <sheetData>
    <row r="1" spans="1:5" s="6" customFormat="1" ht="18.75">
      <c r="A1" s="166"/>
      <c r="B1" s="166"/>
      <c r="E1" s="6" t="s">
        <v>93</v>
      </c>
    </row>
    <row r="2" spans="1:2" s="6" customFormat="1" ht="15.75">
      <c r="A2" s="1"/>
      <c r="B2" s="1"/>
    </row>
    <row r="3" spans="1:6" s="83" customFormat="1" ht="51.75" customHeight="1">
      <c r="A3" s="172" t="s">
        <v>37</v>
      </c>
      <c r="B3" s="143" t="s">
        <v>74</v>
      </c>
      <c r="C3" s="142" t="s">
        <v>66</v>
      </c>
      <c r="D3" s="142"/>
      <c r="E3" s="156" t="s">
        <v>85</v>
      </c>
      <c r="F3" s="156" t="s">
        <v>86</v>
      </c>
    </row>
    <row r="4" spans="1:6" s="83" customFormat="1" ht="102.75" customHeight="1">
      <c r="A4" s="172"/>
      <c r="B4" s="144"/>
      <c r="C4" s="173" t="s">
        <v>67</v>
      </c>
      <c r="D4" s="174"/>
      <c r="E4" s="156"/>
      <c r="F4" s="156"/>
    </row>
    <row r="5" spans="1:6" s="83" customFormat="1" ht="64.5" customHeight="1">
      <c r="A5" s="103"/>
      <c r="B5" s="144"/>
      <c r="C5" s="85" t="s">
        <v>68</v>
      </c>
      <c r="D5" s="85" t="s">
        <v>69</v>
      </c>
      <c r="E5" s="156"/>
      <c r="F5" s="156"/>
    </row>
    <row r="6" spans="1:6" s="6" customFormat="1" ht="15.75">
      <c r="A6" s="26">
        <v>1</v>
      </c>
      <c r="B6" s="27" t="s">
        <v>0</v>
      </c>
      <c r="C6" s="126">
        <v>37</v>
      </c>
      <c r="D6" s="126">
        <v>407</v>
      </c>
      <c r="E6" s="138">
        <v>869</v>
      </c>
      <c r="F6" s="92">
        <f>ROUND(C6*E6/1000,1)</f>
        <v>32.2</v>
      </c>
    </row>
    <row r="7" spans="1:6" s="6" customFormat="1" ht="15.75">
      <c r="A7" s="29">
        <v>2</v>
      </c>
      <c r="B7" s="27" t="s">
        <v>60</v>
      </c>
      <c r="C7" s="126">
        <v>38</v>
      </c>
      <c r="D7" s="133">
        <v>733</v>
      </c>
      <c r="E7" s="138">
        <v>869</v>
      </c>
      <c r="F7" s="92">
        <f aca="true" t="shared" si="0" ref="F7:F44">ROUND(C7*E7/1000,1)</f>
        <v>33</v>
      </c>
    </row>
    <row r="8" spans="1:6" s="6" customFormat="1" ht="15.75">
      <c r="A8" s="29">
        <v>3</v>
      </c>
      <c r="B8" s="27" t="s">
        <v>1</v>
      </c>
      <c r="C8" s="126">
        <v>30</v>
      </c>
      <c r="D8" s="126">
        <v>630</v>
      </c>
      <c r="E8" s="138">
        <v>869</v>
      </c>
      <c r="F8" s="92">
        <f t="shared" si="0"/>
        <v>26.1</v>
      </c>
    </row>
    <row r="9" spans="1:6" s="6" customFormat="1" ht="15.75">
      <c r="A9" s="29">
        <v>4</v>
      </c>
      <c r="B9" s="27" t="s">
        <v>2</v>
      </c>
      <c r="C9" s="126">
        <v>57</v>
      </c>
      <c r="D9" s="126">
        <v>446</v>
      </c>
      <c r="E9" s="138">
        <v>869</v>
      </c>
      <c r="F9" s="92">
        <f t="shared" si="0"/>
        <v>49.5</v>
      </c>
    </row>
    <row r="10" spans="1:6" s="6" customFormat="1" ht="15.75">
      <c r="A10" s="29">
        <v>5</v>
      </c>
      <c r="B10" s="27" t="s">
        <v>59</v>
      </c>
      <c r="C10" s="28">
        <v>25</v>
      </c>
      <c r="D10" s="126">
        <v>150</v>
      </c>
      <c r="E10" s="138">
        <v>869</v>
      </c>
      <c r="F10" s="92">
        <f t="shared" si="0"/>
        <v>21.7</v>
      </c>
    </row>
    <row r="11" spans="1:6" s="6" customFormat="1" ht="15.75">
      <c r="A11" s="29">
        <v>6</v>
      </c>
      <c r="B11" s="27" t="s">
        <v>3</v>
      </c>
      <c r="C11" s="126">
        <v>170</v>
      </c>
      <c r="D11" s="126">
        <v>703</v>
      </c>
      <c r="E11" s="138">
        <v>869</v>
      </c>
      <c r="F11" s="92">
        <f t="shared" si="0"/>
        <v>147.7</v>
      </c>
    </row>
    <row r="12" spans="1:6" s="6" customFormat="1" ht="15.75" customHeight="1">
      <c r="A12" s="29">
        <v>7</v>
      </c>
      <c r="B12" s="27" t="s">
        <v>4</v>
      </c>
      <c r="C12" s="126">
        <v>45</v>
      </c>
      <c r="D12" s="126">
        <v>700</v>
      </c>
      <c r="E12" s="138">
        <v>869</v>
      </c>
      <c r="F12" s="92">
        <f t="shared" si="0"/>
        <v>39.1</v>
      </c>
    </row>
    <row r="13" spans="1:6" s="32" customFormat="1" ht="15.75">
      <c r="A13" s="30">
        <v>8</v>
      </c>
      <c r="B13" s="31" t="s">
        <v>5</v>
      </c>
      <c r="C13" s="126">
        <v>15</v>
      </c>
      <c r="D13" s="126">
        <v>361</v>
      </c>
      <c r="E13" s="138">
        <v>869</v>
      </c>
      <c r="F13" s="92">
        <f t="shared" si="0"/>
        <v>13</v>
      </c>
    </row>
    <row r="14" spans="1:6" s="6" customFormat="1" ht="15.75">
      <c r="A14" s="29">
        <v>9</v>
      </c>
      <c r="B14" s="27" t="s">
        <v>6</v>
      </c>
      <c r="C14" s="126">
        <v>15</v>
      </c>
      <c r="D14" s="126">
        <v>37</v>
      </c>
      <c r="E14" s="138">
        <v>971</v>
      </c>
      <c r="F14" s="92">
        <f t="shared" si="0"/>
        <v>14.6</v>
      </c>
    </row>
    <row r="15" spans="1:6" s="6" customFormat="1" ht="15.75">
      <c r="A15" s="30">
        <v>10</v>
      </c>
      <c r="B15" s="34" t="s">
        <v>7</v>
      </c>
      <c r="C15" s="126">
        <v>38</v>
      </c>
      <c r="D15" s="126">
        <v>162</v>
      </c>
      <c r="E15" s="138">
        <v>971</v>
      </c>
      <c r="F15" s="92">
        <f t="shared" si="0"/>
        <v>36.9</v>
      </c>
    </row>
    <row r="16" spans="1:6" s="6" customFormat="1" ht="15.75">
      <c r="A16" s="29">
        <v>11</v>
      </c>
      <c r="B16" s="34" t="s">
        <v>8</v>
      </c>
      <c r="C16" s="126">
        <v>35</v>
      </c>
      <c r="D16" s="126">
        <v>195</v>
      </c>
      <c r="E16" s="138">
        <v>971</v>
      </c>
      <c r="F16" s="92">
        <f t="shared" si="0"/>
        <v>34</v>
      </c>
    </row>
    <row r="17" spans="1:6" s="6" customFormat="1" ht="15.75">
      <c r="A17" s="30">
        <v>12</v>
      </c>
      <c r="B17" s="34" t="s">
        <v>9</v>
      </c>
      <c r="C17" s="126">
        <v>32</v>
      </c>
      <c r="D17" s="126">
        <v>225</v>
      </c>
      <c r="E17" s="138">
        <v>971</v>
      </c>
      <c r="F17" s="92">
        <f t="shared" si="0"/>
        <v>31.1</v>
      </c>
    </row>
    <row r="18" spans="1:6" s="6" customFormat="1" ht="15.75">
      <c r="A18" s="29">
        <v>13</v>
      </c>
      <c r="B18" s="34" t="s">
        <v>10</v>
      </c>
      <c r="C18" s="126">
        <v>30</v>
      </c>
      <c r="D18" s="126">
        <v>350</v>
      </c>
      <c r="E18" s="138">
        <v>971</v>
      </c>
      <c r="F18" s="92">
        <f t="shared" si="0"/>
        <v>29.1</v>
      </c>
    </row>
    <row r="19" spans="1:6" s="6" customFormat="1" ht="19.5" customHeight="1">
      <c r="A19" s="30">
        <v>14</v>
      </c>
      <c r="B19" s="34" t="s">
        <v>11</v>
      </c>
      <c r="C19" s="126">
        <v>39</v>
      </c>
      <c r="D19" s="126">
        <v>68</v>
      </c>
      <c r="E19" s="138">
        <v>971</v>
      </c>
      <c r="F19" s="92">
        <f t="shared" si="0"/>
        <v>37.9</v>
      </c>
    </row>
    <row r="20" spans="1:6" s="6" customFormat="1" ht="15.75">
      <c r="A20" s="29">
        <v>15</v>
      </c>
      <c r="B20" s="34" t="s">
        <v>12</v>
      </c>
      <c r="C20" s="126">
        <v>30</v>
      </c>
      <c r="D20" s="126">
        <v>450</v>
      </c>
      <c r="E20" s="138">
        <v>971</v>
      </c>
      <c r="F20" s="92">
        <f t="shared" si="0"/>
        <v>29.1</v>
      </c>
    </row>
    <row r="21" spans="1:6" s="38" customFormat="1" ht="15.75" customHeight="1">
      <c r="A21" s="30">
        <v>16</v>
      </c>
      <c r="B21" s="36" t="s">
        <v>13</v>
      </c>
      <c r="C21" s="126">
        <v>30</v>
      </c>
      <c r="D21" s="126">
        <v>150</v>
      </c>
      <c r="E21" s="138">
        <v>971</v>
      </c>
      <c r="F21" s="92">
        <f t="shared" si="0"/>
        <v>29.1</v>
      </c>
    </row>
    <row r="22" spans="1:6" s="41" customFormat="1" ht="19.5" customHeight="1">
      <c r="A22" s="29">
        <v>17</v>
      </c>
      <c r="B22" s="36" t="s">
        <v>14</v>
      </c>
      <c r="C22" s="131">
        <v>20</v>
      </c>
      <c r="D22" s="131">
        <v>33</v>
      </c>
      <c r="E22" s="138">
        <v>971</v>
      </c>
      <c r="F22" s="92">
        <f t="shared" si="0"/>
        <v>19.4</v>
      </c>
    </row>
    <row r="23" spans="1:6" s="6" customFormat="1" ht="15.75">
      <c r="A23" s="30">
        <v>18</v>
      </c>
      <c r="B23" s="34" t="s">
        <v>15</v>
      </c>
      <c r="C23" s="126">
        <v>30</v>
      </c>
      <c r="D23" s="126">
        <v>70</v>
      </c>
      <c r="E23" s="138">
        <v>971</v>
      </c>
      <c r="F23" s="92">
        <f t="shared" si="0"/>
        <v>29.1</v>
      </c>
    </row>
    <row r="24" spans="1:6" s="38" customFormat="1" ht="21" customHeight="1">
      <c r="A24" s="29">
        <v>19</v>
      </c>
      <c r="B24" s="36" t="s">
        <v>16</v>
      </c>
      <c r="C24" s="126">
        <v>30</v>
      </c>
      <c r="D24" s="126">
        <v>350</v>
      </c>
      <c r="E24" s="138">
        <v>971</v>
      </c>
      <c r="F24" s="92">
        <f t="shared" si="0"/>
        <v>29.1</v>
      </c>
    </row>
    <row r="25" spans="1:6" s="6" customFormat="1" ht="15.75">
      <c r="A25" s="30">
        <v>20</v>
      </c>
      <c r="B25" s="34" t="s">
        <v>17</v>
      </c>
      <c r="C25" s="126">
        <v>125</v>
      </c>
      <c r="D25" s="126">
        <v>415</v>
      </c>
      <c r="E25" s="138">
        <v>971</v>
      </c>
      <c r="F25" s="92">
        <f t="shared" si="0"/>
        <v>121.4</v>
      </c>
    </row>
    <row r="26" spans="1:6" s="6" customFormat="1" ht="15.75">
      <c r="A26" s="29">
        <v>21</v>
      </c>
      <c r="B26" s="34" t="s">
        <v>18</v>
      </c>
      <c r="C26" s="126">
        <v>25</v>
      </c>
      <c r="D26" s="126">
        <v>63</v>
      </c>
      <c r="E26" s="138">
        <v>971</v>
      </c>
      <c r="F26" s="92">
        <f t="shared" si="0"/>
        <v>24.3</v>
      </c>
    </row>
    <row r="27" spans="1:6" s="41" customFormat="1" ht="15" customHeight="1">
      <c r="A27" s="30">
        <v>22</v>
      </c>
      <c r="B27" s="36" t="s">
        <v>19</v>
      </c>
      <c r="C27" s="131">
        <v>30</v>
      </c>
      <c r="D27" s="131">
        <v>200</v>
      </c>
      <c r="E27" s="138">
        <v>971</v>
      </c>
      <c r="F27" s="92">
        <f t="shared" si="0"/>
        <v>29.1</v>
      </c>
    </row>
    <row r="28" spans="1:6" s="38" customFormat="1" ht="18.75" customHeight="1">
      <c r="A28" s="29">
        <v>23</v>
      </c>
      <c r="B28" s="36" t="s">
        <v>20</v>
      </c>
      <c r="C28" s="126">
        <v>24</v>
      </c>
      <c r="D28" s="126">
        <v>64</v>
      </c>
      <c r="E28" s="138">
        <v>971</v>
      </c>
      <c r="F28" s="92">
        <f t="shared" si="0"/>
        <v>23.3</v>
      </c>
    </row>
    <row r="29" spans="1:6" s="6" customFormat="1" ht="15.75">
      <c r="A29" s="30">
        <v>24</v>
      </c>
      <c r="B29" s="34" t="s">
        <v>21</v>
      </c>
      <c r="C29" s="126">
        <v>15</v>
      </c>
      <c r="D29" s="126">
        <v>39</v>
      </c>
      <c r="E29" s="138">
        <v>971</v>
      </c>
      <c r="F29" s="92">
        <f t="shared" si="0"/>
        <v>14.6</v>
      </c>
    </row>
    <row r="30" spans="1:6" s="6" customFormat="1" ht="15.75">
      <c r="A30" s="29">
        <v>25</v>
      </c>
      <c r="B30" s="34" t="s">
        <v>22</v>
      </c>
      <c r="C30" s="126">
        <v>15</v>
      </c>
      <c r="D30" s="126">
        <v>40</v>
      </c>
      <c r="E30" s="138">
        <v>971</v>
      </c>
      <c r="F30" s="92">
        <f t="shared" si="0"/>
        <v>14.6</v>
      </c>
    </row>
    <row r="31" spans="1:6" s="6" customFormat="1" ht="15.75">
      <c r="A31" s="30">
        <v>26</v>
      </c>
      <c r="B31" s="34" t="s">
        <v>23</v>
      </c>
      <c r="C31" s="126">
        <v>40</v>
      </c>
      <c r="D31" s="126">
        <v>110</v>
      </c>
      <c r="E31" s="138">
        <v>971</v>
      </c>
      <c r="F31" s="92">
        <f t="shared" si="0"/>
        <v>38.8</v>
      </c>
    </row>
    <row r="32" spans="1:6" s="6" customFormat="1" ht="19.5" customHeight="1">
      <c r="A32" s="29">
        <v>27</v>
      </c>
      <c r="B32" s="34" t="s">
        <v>24</v>
      </c>
      <c r="C32" s="126">
        <v>15</v>
      </c>
      <c r="D32" s="126">
        <v>102</v>
      </c>
      <c r="E32" s="138">
        <v>971</v>
      </c>
      <c r="F32" s="92">
        <f t="shared" si="0"/>
        <v>14.6</v>
      </c>
    </row>
    <row r="33" spans="1:6" s="6" customFormat="1" ht="18" customHeight="1">
      <c r="A33" s="30">
        <v>28</v>
      </c>
      <c r="B33" s="34" t="s">
        <v>25</v>
      </c>
      <c r="C33" s="126">
        <v>15</v>
      </c>
      <c r="D33" s="126">
        <v>53</v>
      </c>
      <c r="E33" s="138">
        <v>971</v>
      </c>
      <c r="F33" s="92">
        <f t="shared" si="0"/>
        <v>14.6</v>
      </c>
    </row>
    <row r="34" spans="1:6" s="41" customFormat="1" ht="18.75" customHeight="1">
      <c r="A34" s="29">
        <v>29</v>
      </c>
      <c r="B34" s="36" t="s">
        <v>26</v>
      </c>
      <c r="C34" s="131">
        <v>15</v>
      </c>
      <c r="D34" s="131">
        <v>86</v>
      </c>
      <c r="E34" s="138">
        <v>971</v>
      </c>
      <c r="F34" s="92">
        <f t="shared" si="0"/>
        <v>14.6</v>
      </c>
    </row>
    <row r="35" spans="1:6" s="6" customFormat="1" ht="24" customHeight="1">
      <c r="A35" s="30">
        <v>30</v>
      </c>
      <c r="B35" s="34" t="s">
        <v>27</v>
      </c>
      <c r="C35" s="126">
        <v>15</v>
      </c>
      <c r="D35" s="126">
        <v>43</v>
      </c>
      <c r="E35" s="138">
        <v>971</v>
      </c>
      <c r="F35" s="92">
        <f t="shared" si="0"/>
        <v>14.6</v>
      </c>
    </row>
    <row r="36" spans="1:6" s="6" customFormat="1" ht="15.75">
      <c r="A36" s="29">
        <v>31</v>
      </c>
      <c r="B36" s="34" t="s">
        <v>28</v>
      </c>
      <c r="C36" s="126">
        <v>55</v>
      </c>
      <c r="D36" s="126">
        <v>108</v>
      </c>
      <c r="E36" s="138">
        <v>971</v>
      </c>
      <c r="F36" s="92">
        <f t="shared" si="0"/>
        <v>53.4</v>
      </c>
    </row>
    <row r="37" spans="1:6" s="6" customFormat="1" ht="15.75">
      <c r="A37" s="30">
        <v>32</v>
      </c>
      <c r="B37" s="34" t="s">
        <v>29</v>
      </c>
      <c r="C37" s="126">
        <v>61</v>
      </c>
      <c r="D37" s="126">
        <v>70</v>
      </c>
      <c r="E37" s="138">
        <v>971</v>
      </c>
      <c r="F37" s="92">
        <f t="shared" si="0"/>
        <v>59.2</v>
      </c>
    </row>
    <row r="38" spans="1:6" s="6" customFormat="1" ht="15.75">
      <c r="A38" s="29">
        <v>33</v>
      </c>
      <c r="B38" s="34" t="s">
        <v>30</v>
      </c>
      <c r="C38" s="126">
        <v>15</v>
      </c>
      <c r="D38" s="126">
        <v>40</v>
      </c>
      <c r="E38" s="138">
        <v>971</v>
      </c>
      <c r="F38" s="92">
        <f t="shared" si="0"/>
        <v>14.6</v>
      </c>
    </row>
    <row r="39" spans="1:6" s="6" customFormat="1" ht="15.75">
      <c r="A39" s="30">
        <v>34</v>
      </c>
      <c r="B39" s="34" t="s">
        <v>31</v>
      </c>
      <c r="C39" s="126">
        <v>17</v>
      </c>
      <c r="D39" s="126">
        <v>185</v>
      </c>
      <c r="E39" s="138">
        <v>971</v>
      </c>
      <c r="F39" s="92">
        <f t="shared" si="0"/>
        <v>16.5</v>
      </c>
    </row>
    <row r="40" spans="1:6" s="6" customFormat="1" ht="22.5" customHeight="1">
      <c r="A40" s="29">
        <v>35</v>
      </c>
      <c r="B40" s="34" t="s">
        <v>32</v>
      </c>
      <c r="C40" s="126">
        <v>15</v>
      </c>
      <c r="D40" s="126">
        <v>231</v>
      </c>
      <c r="E40" s="138">
        <v>971</v>
      </c>
      <c r="F40" s="92">
        <f t="shared" si="0"/>
        <v>14.6</v>
      </c>
    </row>
    <row r="41" spans="1:6" s="6" customFormat="1" ht="21.75" customHeight="1">
      <c r="A41" s="30">
        <v>36</v>
      </c>
      <c r="B41" s="34" t="s">
        <v>33</v>
      </c>
      <c r="C41" s="126">
        <v>48</v>
      </c>
      <c r="D41" s="126">
        <v>180</v>
      </c>
      <c r="E41" s="138">
        <v>971</v>
      </c>
      <c r="F41" s="92">
        <f t="shared" si="0"/>
        <v>46.6</v>
      </c>
    </row>
    <row r="42" spans="1:6" s="38" customFormat="1" ht="21" customHeight="1">
      <c r="A42" s="29">
        <v>37</v>
      </c>
      <c r="B42" s="36" t="s">
        <v>34</v>
      </c>
      <c r="C42" s="126">
        <v>30</v>
      </c>
      <c r="D42" s="126">
        <v>60</v>
      </c>
      <c r="E42" s="138">
        <v>971</v>
      </c>
      <c r="F42" s="92">
        <f t="shared" si="0"/>
        <v>29.1</v>
      </c>
    </row>
    <row r="43" spans="1:6" s="38" customFormat="1" ht="15.75">
      <c r="A43" s="30">
        <v>38</v>
      </c>
      <c r="B43" s="36" t="s">
        <v>35</v>
      </c>
      <c r="C43" s="133">
        <v>35</v>
      </c>
      <c r="D43" s="133">
        <v>45</v>
      </c>
      <c r="E43" s="138">
        <v>971</v>
      </c>
      <c r="F43" s="92">
        <f t="shared" si="0"/>
        <v>34</v>
      </c>
    </row>
    <row r="44" spans="1:6" s="6" customFormat="1" ht="16.5" thickBot="1">
      <c r="A44" s="29">
        <v>39</v>
      </c>
      <c r="B44" s="43" t="s">
        <v>36</v>
      </c>
      <c r="C44" s="135">
        <v>38</v>
      </c>
      <c r="D44" s="135">
        <v>59</v>
      </c>
      <c r="E44" s="138">
        <v>971</v>
      </c>
      <c r="F44" s="92">
        <f t="shared" si="0"/>
        <v>36.9</v>
      </c>
    </row>
    <row r="45" spans="1:6" s="38" customFormat="1" ht="32.25" thickBot="1">
      <c r="A45" s="50"/>
      <c r="B45" s="80" t="s">
        <v>77</v>
      </c>
      <c r="C45" s="52">
        <f>SUM(C6:C44)</f>
        <v>1394</v>
      </c>
      <c r="D45" s="52">
        <f>SUM(D6:D44)</f>
        <v>8413</v>
      </c>
      <c r="E45" s="93"/>
      <c r="F45" s="94">
        <f>SUM(F6:F44)</f>
        <v>1311.1</v>
      </c>
    </row>
    <row r="46" spans="1:2" s="6" customFormat="1" ht="18" customHeight="1">
      <c r="A46" s="9"/>
      <c r="B46" s="10"/>
    </row>
    <row r="47" spans="1:2" s="6" customFormat="1" ht="15.75">
      <c r="A47" s="12"/>
      <c r="B47" s="13"/>
    </row>
    <row r="48" spans="1:2" s="6" customFormat="1" ht="15.75">
      <c r="A48" s="12"/>
      <c r="B48" s="13"/>
    </row>
    <row r="49" spans="1:2" s="6" customFormat="1" ht="15.75">
      <c r="A49" s="12"/>
      <c r="B49" s="13"/>
    </row>
    <row r="50" spans="1:2" s="6" customFormat="1" ht="15.75">
      <c r="A50" s="12"/>
      <c r="B50" s="13"/>
    </row>
    <row r="51" spans="1:2" s="6" customFormat="1" ht="15.75">
      <c r="A51" s="12"/>
      <c r="B51" s="15"/>
    </row>
    <row r="52" spans="1:2" s="6" customFormat="1" ht="15.75">
      <c r="A52" s="12"/>
      <c r="B52" s="15"/>
    </row>
    <row r="53" spans="1:2" s="6" customFormat="1" ht="16.5" customHeight="1">
      <c r="A53" s="12"/>
      <c r="B53" s="13"/>
    </row>
    <row r="54" spans="1:2" s="6" customFormat="1" ht="15.75">
      <c r="A54" s="12"/>
      <c r="B54" s="13"/>
    </row>
    <row r="55" spans="1:2" s="6" customFormat="1" ht="15.75">
      <c r="A55" s="12"/>
      <c r="B55" s="13"/>
    </row>
    <row r="56" spans="1:2" s="6" customFormat="1" ht="15.75">
      <c r="A56" s="12"/>
      <c r="B56" s="13"/>
    </row>
    <row r="57" spans="1:2" s="6" customFormat="1" ht="15.75">
      <c r="A57" s="12"/>
      <c r="B57" s="13"/>
    </row>
    <row r="58" spans="1:2" s="6" customFormat="1" ht="15.75">
      <c r="A58" s="12"/>
      <c r="B58" s="13"/>
    </row>
    <row r="59" spans="1:2" s="6" customFormat="1" ht="15.75">
      <c r="A59" s="12"/>
      <c r="B59" s="16"/>
    </row>
    <row r="60" spans="1:2" s="18" customFormat="1" ht="16.5" customHeight="1">
      <c r="A60" s="145"/>
      <c r="B60" s="145"/>
    </row>
    <row r="61" spans="1:2" ht="15.75">
      <c r="A61" s="12"/>
      <c r="B61" s="15"/>
    </row>
    <row r="62" spans="1:2" ht="15.75">
      <c r="A62" s="12"/>
      <c r="B62" s="15"/>
    </row>
    <row r="63" spans="1:2" ht="15.75">
      <c r="A63" s="12"/>
      <c r="B63" s="15"/>
    </row>
    <row r="64" spans="1:2" ht="15.75">
      <c r="A64" s="12"/>
      <c r="B64" s="15"/>
    </row>
    <row r="65" spans="1:2" ht="18" customHeight="1">
      <c r="A65" s="12"/>
      <c r="B65" s="15"/>
    </row>
    <row r="66" spans="1:2" ht="15.75">
      <c r="A66" s="12"/>
      <c r="B66" s="15"/>
    </row>
    <row r="67" spans="1:2" ht="15.75">
      <c r="A67" s="12"/>
      <c r="B67" s="15"/>
    </row>
    <row r="68" spans="1:2" ht="15.75">
      <c r="A68" s="12"/>
      <c r="B68" s="15"/>
    </row>
    <row r="69" spans="1:2" ht="15.75">
      <c r="A69" s="12"/>
      <c r="B69" s="15"/>
    </row>
    <row r="70" spans="1:2" ht="15.75">
      <c r="A70" s="12"/>
      <c r="B70" s="15"/>
    </row>
    <row r="71" spans="1:2" ht="15.75">
      <c r="A71" s="12"/>
      <c r="B71" s="13"/>
    </row>
    <row r="72" spans="1:2" ht="15.75">
      <c r="A72" s="12"/>
      <c r="B72" s="13"/>
    </row>
    <row r="73" spans="1:2" ht="15.75">
      <c r="A73" s="12"/>
      <c r="B73" s="13"/>
    </row>
    <row r="74" spans="1:2" ht="15.75">
      <c r="A74" s="12"/>
      <c r="B74" s="13"/>
    </row>
    <row r="75" spans="1:2" ht="15.75">
      <c r="A75" s="12"/>
      <c r="B75" s="13"/>
    </row>
    <row r="76" spans="1:2" ht="15.75">
      <c r="A76" s="12"/>
      <c r="B76" s="13"/>
    </row>
    <row r="77" spans="1:2" ht="15.75">
      <c r="A77" s="12"/>
      <c r="B77" s="13"/>
    </row>
    <row r="78" spans="1:2" ht="15.75">
      <c r="A78" s="12"/>
      <c r="B78" s="13"/>
    </row>
    <row r="79" spans="1:2" ht="15.75">
      <c r="A79" s="12"/>
      <c r="B79" s="13"/>
    </row>
    <row r="80" spans="1:2" ht="15.75">
      <c r="A80" s="12"/>
      <c r="B80" s="13"/>
    </row>
    <row r="81" spans="1:2" ht="15.75">
      <c r="A81" s="12"/>
      <c r="B81" s="13"/>
    </row>
    <row r="82" spans="1:2" ht="15.75">
      <c r="A82" s="12"/>
      <c r="B82" s="13"/>
    </row>
    <row r="83" spans="1:2" ht="15.75">
      <c r="A83" s="12"/>
      <c r="B83" s="13"/>
    </row>
    <row r="84" spans="1:2" ht="15.75">
      <c r="A84" s="12"/>
      <c r="B84" s="13"/>
    </row>
    <row r="85" spans="1:2" ht="15.75">
      <c r="A85" s="12"/>
      <c r="B85" s="13"/>
    </row>
    <row r="86" spans="1:2" ht="15.75">
      <c r="A86" s="12"/>
      <c r="B86" s="13"/>
    </row>
    <row r="87" spans="1:2" ht="15.75">
      <c r="A87" s="12"/>
      <c r="B87" s="13"/>
    </row>
    <row r="88" spans="1:2" ht="15.75">
      <c r="A88" s="12"/>
      <c r="B88" s="13"/>
    </row>
    <row r="89" spans="1:2" ht="15.75">
      <c r="A89" s="12"/>
      <c r="B89" s="13"/>
    </row>
    <row r="90" spans="1:2" ht="15.75">
      <c r="A90" s="12"/>
      <c r="B90" s="13"/>
    </row>
    <row r="91" spans="1:2" ht="15.75">
      <c r="A91" s="12"/>
      <c r="B91" s="13"/>
    </row>
    <row r="92" spans="1:2" ht="15.75">
      <c r="A92" s="12"/>
      <c r="B92" s="13"/>
    </row>
    <row r="93" spans="1:2" ht="15.75">
      <c r="A93" s="12"/>
      <c r="B93" s="13"/>
    </row>
    <row r="94" spans="1:2" ht="15.75">
      <c r="A94" s="12"/>
      <c r="B94" s="13"/>
    </row>
    <row r="95" spans="1:2" ht="15.75">
      <c r="A95" s="12"/>
      <c r="B95" s="13"/>
    </row>
    <row r="96" spans="1:2" ht="15.75">
      <c r="A96" s="12"/>
      <c r="B96" s="13"/>
    </row>
    <row r="97" spans="1:2" ht="15.75">
      <c r="A97" s="12"/>
      <c r="B97" s="13"/>
    </row>
    <row r="98" spans="1:2" ht="15.75">
      <c r="A98" s="12"/>
      <c r="B98" s="13"/>
    </row>
    <row r="99" spans="1:2" ht="15.75">
      <c r="A99" s="12"/>
      <c r="B99" s="13"/>
    </row>
    <row r="100" spans="1:2" ht="15.75">
      <c r="A100" s="12"/>
      <c r="B100" s="13"/>
    </row>
    <row r="101" spans="1:2" ht="15.75">
      <c r="A101" s="12"/>
      <c r="B101" s="13"/>
    </row>
    <row r="102" spans="1:2" ht="15.75">
      <c r="A102" s="12"/>
      <c r="B102" s="13"/>
    </row>
    <row r="103" spans="1:2" ht="15.75">
      <c r="A103" s="12"/>
      <c r="B103" s="13"/>
    </row>
    <row r="104" spans="1:2" ht="15.75">
      <c r="A104" s="12"/>
      <c r="B104" s="13"/>
    </row>
    <row r="105" spans="1:2" ht="15.75">
      <c r="A105" s="20"/>
      <c r="B105" s="21"/>
    </row>
    <row r="106" spans="1:2" ht="18.75">
      <c r="A106" s="22"/>
      <c r="B106" s="22"/>
    </row>
    <row r="107" spans="1:2" ht="12.75">
      <c r="A107" s="20"/>
      <c r="B107" s="20"/>
    </row>
  </sheetData>
  <sheetProtection/>
  <mergeCells count="8">
    <mergeCell ref="F3:F5"/>
    <mergeCell ref="B3:B5"/>
    <mergeCell ref="A60:B60"/>
    <mergeCell ref="A1:B1"/>
    <mergeCell ref="A3:A4"/>
    <mergeCell ref="C3:D3"/>
    <mergeCell ref="C4:D4"/>
    <mergeCell ref="E3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2018-07-11T07:11:32Z</cp:lastPrinted>
  <dcterms:created xsi:type="dcterms:W3CDTF">2005-01-25T12:19:56Z</dcterms:created>
  <dcterms:modified xsi:type="dcterms:W3CDTF">2018-08-17T13:24:49Z</dcterms:modified>
  <cp:category/>
  <cp:version/>
  <cp:contentType/>
  <cp:contentStatus/>
</cp:coreProperties>
</file>