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515" firstSheet="2" activeTab="2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</sheet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'ППК'!$A:$B,'ППК'!$3:$5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'Допобразование'!$A$1:$J$46</definedName>
    <definedName name="_xlnm.Print_Area" localSheetId="4">'Коррекция'!$A$1:$E$46</definedName>
    <definedName name="_xlnm.Print_Area" localSheetId="5">'ППК'!$A$1:$E$45</definedName>
    <definedName name="_xlnm.Print_Area" localSheetId="6">'Работы'!$A$1:$F$45</definedName>
    <definedName name="_xlnm.Print_Area" localSheetId="0">'Школы-началка'!$A$1:$AE$47</definedName>
    <definedName name="_xlnm.Print_Area" localSheetId="1">'Школы-основная'!$A$1:$AH$47</definedName>
    <definedName name="_xlnm.Print_Area" localSheetId="2">'Школы-средняя'!$A$1:$AB$47</definedName>
  </definedNames>
  <calcPr fullCalcOnLoad="1"/>
</workbook>
</file>

<file path=xl/sharedStrings.xml><?xml version="1.0" encoding="utf-8"?>
<sst xmlns="http://schemas.openxmlformats.org/spreadsheetml/2006/main" count="543" uniqueCount="95">
  <si>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</si>
  <si>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</si>
  <si>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</si>
  <si>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</si>
  <si>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</si>
  <si>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</si>
  <si>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</si>
  <si>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</si>
  <si>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</si>
  <si>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</si>
  <si>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</si>
  <si>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</si>
  <si>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</si>
  <si>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</si>
  <si>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</si>
  <si>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</si>
  <si>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</si>
  <si>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</si>
  <si>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</si>
  <si>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</si>
  <si>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</si>
  <si>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</si>
  <si>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</si>
  <si>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</si>
  <si>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</si>
  <si>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</si>
  <si>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</si>
  <si>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</si>
  <si>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</si>
  <si>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</si>
  <si>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</si>
  <si>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</si>
  <si>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</si>
  <si>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</si>
  <si>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</si>
  <si>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</si>
  <si>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</si>
  <si>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№п/п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</si>
  <si>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</si>
  <si>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</si>
  <si>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</si>
  <si>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</si>
  <si>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</si>
  <si>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</si>
  <si>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</si>
  <si>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</si>
  <si>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</si>
  <si>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</si>
  <si>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</si>
  <si>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</si>
  <si>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</si>
  <si>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</si>
  <si>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реализация коррекционно-развивающей, компенсирующей и логопедической помощи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</si>
  <si>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</si>
  <si>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</si>
  <si>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</si>
  <si>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</si>
  <si>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</si>
  <si>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</si>
  <si>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</si>
  <si>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</si>
  <si>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Нормативы затрат на оказание муниципальных услуг  в части затра на оплату труда,    руб.</t>
  </si>
  <si>
    <t>Всего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</si>
  <si>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</si>
  <si>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</si>
  <si>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</si>
  <si>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</si>
  <si>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</si>
  <si>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</si>
  <si>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</si>
  <si>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Нормативы затрат на оказание муниципальных услуг  в части затрат на оплату труда,    руб.</t>
  </si>
  <si>
    <t>по максимальному объёму-СОШ-9</t>
  </si>
  <si>
    <t>чел.</t>
  </si>
  <si>
    <t>Потребители муниципальной услуги</t>
  </si>
  <si>
    <t>Наименование общеобразовательной организации</t>
  </si>
  <si>
    <t>Режим работы, количество дней работы в неделю</t>
  </si>
  <si>
    <t>Наименование и объём  муниципальной услуги</t>
  </si>
  <si>
    <t>Итого общеобразовательные организации</t>
  </si>
  <si>
    <t>Отраслевые  корректирующие коэффициенты затрат, непосредственно связанных с оказанием муниципальных услуг, учитывающие среднюю фактическую наполняемость классов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</si>
  <si>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</si>
  <si>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Финансовое обеспечение  муниципальных услуг  в части затрат на оплату труда,  тыс. руб.</t>
  </si>
  <si>
    <t>№ п/п</t>
  </si>
  <si>
    <t>Финансовое обеспечение  муниципальных услуг  в части затрат на оплату труда,    тыс. руб.</t>
  </si>
  <si>
    <t>Наименование и объем муниципальной услуги</t>
  </si>
  <si>
    <t>Финансовое обеспечение  муниципальных услуг  в части затра на оплату труда,    тыс. руб.</t>
  </si>
  <si>
    <t>Нормативы затрат на выполнене работ  в части затрат на оплату труда,    руб.</t>
  </si>
  <si>
    <t>Финансовое обеспечение  выполнения работ  в части затрат на оплату труда,  тыс. руб.</t>
  </si>
  <si>
    <t>Приложение №15</t>
  </si>
  <si>
    <t>Отраслевые  корректирующие коэффициенты затрат, непосредственно связанных с оказанием муниципальных услуг, учитывающие особенности образовательного и воспитательного процессов</t>
  </si>
  <si>
    <t>Приложение №16</t>
  </si>
  <si>
    <t>Приложение №17</t>
  </si>
  <si>
    <t>Приложение №18</t>
  </si>
  <si>
    <t>Приложение №19</t>
  </si>
  <si>
    <t>Приложение №20</t>
  </si>
  <si>
    <t>Приложение №21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</si>
</sst>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8" fillId="33" borderId="10" xfId="54" applyFont="1" applyFill="1" applyBorder="1">
      <alignment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3" fontId="10" fillId="33" borderId="12" xfId="54" applyNumberFormat="1" applyFont="1" applyFill="1" applyBorder="1" applyAlignment="1">
      <alignment horizontal="center"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4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left"/>
      <protection/>
    </xf>
    <xf numFmtId="0" fontId="11" fillId="33" borderId="16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left"/>
      <protection/>
    </xf>
    <xf numFmtId="0" fontId="12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vertical="top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/>
      <protection/>
    </xf>
    <xf numFmtId="0" fontId="11" fillId="33" borderId="16" xfId="54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3" fontId="11" fillId="33" borderId="16" xfId="54" applyNumberFormat="1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vertical="top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8" xfId="54" applyFont="1" applyFill="1" applyBorder="1" applyAlignment="1">
      <alignment wrapText="1"/>
      <protection/>
    </xf>
    <xf numFmtId="0" fontId="5" fillId="33" borderId="11" xfId="54" applyFont="1" applyFill="1" applyBorder="1" applyAlignment="1">
      <alignment horizontal="center" wrapText="1"/>
      <protection/>
    </xf>
    <xf numFmtId="0" fontId="7" fillId="33" borderId="12" xfId="54" applyFont="1" applyFill="1" applyBorder="1" applyAlignment="1">
      <alignment wrapText="1"/>
      <protection/>
    </xf>
    <xf numFmtId="3" fontId="10" fillId="33" borderId="12" xfId="54" applyNumberFormat="1" applyFont="1" applyFill="1" applyBorder="1" applyAlignment="1">
      <alignment horizontal="center" wrapText="1"/>
      <protection/>
    </xf>
    <xf numFmtId="3" fontId="10" fillId="33" borderId="19" xfId="54" applyNumberFormat="1" applyFont="1" applyFill="1" applyBorder="1" applyAlignment="1">
      <alignment horizontal="center" wrapText="1"/>
      <protection/>
    </xf>
    <xf numFmtId="180" fontId="8" fillId="33" borderId="1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3" fontId="10" fillId="33" borderId="19" xfId="54" applyNumberFormat="1" applyFont="1" applyFill="1" applyBorder="1" applyAlignment="1">
      <alignment horizontal="center" vertical="top" wrapText="1"/>
      <protection/>
    </xf>
    <xf numFmtId="180" fontId="8" fillId="33" borderId="10" xfId="54" applyNumberFormat="1" applyFont="1" applyFill="1" applyBorder="1" applyAlignment="1">
      <alignment horizontal="center"/>
      <protection/>
    </xf>
    <xf numFmtId="4" fontId="8" fillId="33" borderId="0" xfId="54" applyNumberFormat="1" applyFont="1" applyFill="1" applyAlignment="1">
      <alignment horizontal="center"/>
      <protection/>
    </xf>
    <xf numFmtId="0" fontId="8" fillId="33" borderId="10" xfId="54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1" fontId="8" fillId="33" borderId="0" xfId="54" applyNumberFormat="1" applyFont="1" applyFill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1" fontId="11" fillId="33" borderId="10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11" fillId="34" borderId="16" xfId="33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 applyBorder="1" applyAlignment="1">
      <alignment wrapText="1"/>
      <protection/>
    </xf>
    <xf numFmtId="3" fontId="11" fillId="33" borderId="20" xfId="54" applyNumberFormat="1" applyFont="1" applyFill="1" applyBorder="1" applyAlignment="1">
      <alignment horizontal="center"/>
      <protection/>
    </xf>
    <xf numFmtId="0" fontId="0" fillId="33" borderId="0" xfId="54" applyFont="1" applyFill="1">
      <alignment/>
      <protection/>
    </xf>
    <xf numFmtId="3" fontId="10" fillId="33" borderId="21" xfId="54" applyNumberFormat="1" applyFont="1" applyFill="1" applyBorder="1" applyAlignment="1">
      <alignment horizontal="center"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182" fontId="11" fillId="33" borderId="16" xfId="54" applyNumberFormat="1" applyFont="1" applyFill="1" applyBorder="1" applyAlignment="1">
      <alignment horizontal="center" wrapText="1"/>
      <protection/>
    </xf>
    <xf numFmtId="3" fontId="10" fillId="33" borderId="10" xfId="54" applyNumberFormat="1" applyFont="1" applyFill="1" applyBorder="1" applyAlignment="1">
      <alignment horizontal="center" wrapText="1"/>
      <protection/>
    </xf>
    <xf numFmtId="0" fontId="51" fillId="33" borderId="15" xfId="54" applyFont="1" applyFill="1" applyBorder="1" applyAlignment="1">
      <alignment horizontal="center"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176" fontId="11" fillId="33" borderId="17" xfId="54" applyNumberFormat="1" applyFont="1" applyFill="1" applyBorder="1" applyAlignment="1">
      <alignment horizontal="center" wrapText="1"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>
      <alignment/>
      <protection/>
    </xf>
    <xf numFmtId="177" fontId="13" fillId="33" borderId="22" xfId="54" applyNumberFormat="1" applyFont="1" applyFill="1" applyBorder="1" applyAlignment="1">
      <alignment horizontal="center" vertical="center" wrapText="1"/>
      <protection/>
    </xf>
    <xf numFmtId="177" fontId="13" fillId="33" borderId="10" xfId="54" applyNumberFormat="1" applyFont="1" applyFill="1" applyBorder="1" applyAlignment="1">
      <alignment horizontal="center" vertical="center" wrapText="1"/>
      <protection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15" xfId="54" applyNumberFormat="1" applyFont="1" applyFill="1" applyBorder="1" applyAlignment="1">
      <alignment horizontal="center" vertical="center" wrapText="1"/>
      <protection/>
    </xf>
    <xf numFmtId="177" fontId="13" fillId="33" borderId="23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177" fontId="13" fillId="33" borderId="18" xfId="54" applyNumberFormat="1" applyFont="1" applyFill="1" applyBorder="1" applyAlignment="1">
      <alignment horizontal="center" vertical="center" wrapText="1"/>
      <protection/>
    </xf>
    <xf numFmtId="0" fontId="13" fillId="33" borderId="16" xfId="54" applyFont="1" applyFill="1" applyBorder="1" applyAlignment="1">
      <alignment horizontal="center" vertical="center" wrapText="1"/>
      <protection/>
    </xf>
    <xf numFmtId="180" fontId="52" fillId="33" borderId="10" xfId="54" applyNumberFormat="1" applyFont="1" applyFill="1" applyBorder="1" applyAlignment="1">
      <alignment horizontal="center"/>
      <protection/>
    </xf>
    <xf numFmtId="3" fontId="10" fillId="33" borderId="24" xfId="54" applyNumberFormat="1" applyFont="1" applyFill="1" applyBorder="1" applyAlignment="1">
      <alignment horizontal="center" wrapText="1"/>
      <protection/>
    </xf>
    <xf numFmtId="180" fontId="10" fillId="33" borderId="24" xfId="54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>
      <alignment/>
      <protection/>
    </xf>
    <xf numFmtId="0" fontId="4" fillId="33" borderId="0" xfId="54" applyFont="1" applyFill="1" applyAlignment="1">
      <alignment horizontal="center"/>
      <protection/>
    </xf>
    <xf numFmtId="177" fontId="11" fillId="33" borderId="25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23" xfId="54" applyNumberFormat="1" applyFont="1" applyFill="1" applyBorder="1" applyAlignment="1">
      <alignment horizontal="center" vertical="center" wrapText="1"/>
      <protection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/>
      <protection/>
    </xf>
    <xf numFmtId="0" fontId="14" fillId="33" borderId="0" xfId="54" applyFont="1" applyFill="1" applyAlignment="1">
      <alignment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3" fontId="11" fillId="33" borderId="17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1" fontId="11" fillId="34" borderId="10" xfId="33" applyNumberFormat="1" applyFont="1" applyFill="1" applyBorder="1" applyAlignment="1">
      <alignment horizontal="center" wrapText="1"/>
      <protection/>
    </xf>
    <xf numFmtId="177" fontId="11" fillId="33" borderId="10" xfId="54" applyNumberFormat="1" applyFont="1" applyFill="1" applyBorder="1" applyAlignment="1">
      <alignment horizontal="center" wrapText="1"/>
      <protection/>
    </xf>
    <xf numFmtId="3" fontId="11" fillId="33" borderId="10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0" xfId="60" applyNumberFormat="1" applyFont="1" applyFill="1" applyBorder="1" applyAlignment="1">
      <alignment horizontal="center" wrapText="1"/>
    </xf>
    <xf numFmtId="1" fontId="11" fillId="33" borderId="16" xfId="60" applyNumberFormat="1" applyFont="1" applyFill="1" applyBorder="1" applyAlignment="1">
      <alignment horizontal="center" wrapText="1"/>
    </xf>
    <xf numFmtId="0" fontId="11" fillId="33" borderId="17" xfId="54" applyFont="1" applyFill="1" applyBorder="1" applyAlignment="1">
      <alignment horizontal="center"/>
      <protection/>
    </xf>
    <xf numFmtId="0" fontId="11" fillId="33" borderId="15" xfId="54" applyFont="1" applyFill="1" applyBorder="1" applyAlignment="1">
      <alignment horizontal="center"/>
      <protection/>
    </xf>
    <xf numFmtId="1" fontId="11" fillId="33" borderId="17" xfId="54" applyNumberFormat="1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center"/>
      <protection/>
    </xf>
    <xf numFmtId="3" fontId="8" fillId="33" borderId="10" xfId="54" applyNumberFormat="1" applyFont="1" applyFill="1" applyBorder="1" applyAlignment="1">
      <alignment horizontal="center"/>
      <protection/>
    </xf>
    <xf numFmtId="0" fontId="11" fillId="34" borderId="16" xfId="33" applyFont="1" applyFill="1" applyBorder="1" applyAlignment="1">
      <alignment horizontal="center"/>
      <protection/>
    </xf>
    <xf numFmtId="0" fontId="11" fillId="34" borderId="10" xfId="33" applyFont="1" applyFill="1" applyBorder="1" applyAlignment="1">
      <alignment horizontal="center"/>
      <protection/>
    </xf>
    <xf numFmtId="1" fontId="11" fillId="34" borderId="17" xfId="33" applyNumberFormat="1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center" wrapText="1"/>
      <protection/>
    </xf>
    <xf numFmtId="1" fontId="11" fillId="33" borderId="16" xfId="54" applyNumberFormat="1" applyFont="1" applyFill="1" applyBorder="1" applyAlignment="1">
      <alignment horizontal="center" vertical="top" wrapText="1"/>
      <protection/>
    </xf>
    <xf numFmtId="3" fontId="11" fillId="33" borderId="10" xfId="54" applyNumberFormat="1" applyFont="1" applyFill="1" applyBorder="1" applyAlignment="1">
      <alignment horizontal="center"/>
      <protection/>
    </xf>
    <xf numFmtId="3" fontId="11" fillId="33" borderId="17" xfId="54" applyNumberFormat="1" applyFont="1" applyFill="1" applyBorder="1" applyAlignment="1">
      <alignment horizontal="center"/>
      <protection/>
    </xf>
    <xf numFmtId="3" fontId="11" fillId="33" borderId="18" xfId="54" applyNumberFormat="1" applyFont="1" applyFill="1" applyBorder="1" applyAlignment="1">
      <alignment horizontal="center"/>
      <protection/>
    </xf>
    <xf numFmtId="3" fontId="11" fillId="33" borderId="21" xfId="54" applyNumberFormat="1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12" fillId="33" borderId="10" xfId="54" applyFont="1" applyFill="1" applyBorder="1">
      <alignment/>
      <protection/>
    </xf>
    <xf numFmtId="180" fontId="12" fillId="33" borderId="10" xfId="54" applyNumberFormat="1" applyFont="1" applyFill="1" applyBorder="1" applyAlignment="1">
      <alignment horizontal="center"/>
      <protection/>
    </xf>
    <xf numFmtId="2" fontId="7" fillId="33" borderId="10" xfId="54" applyNumberFormat="1" applyFont="1" applyFill="1" applyBorder="1" applyAlignment="1">
      <alignment wrapText="1"/>
      <protection/>
    </xf>
    <xf numFmtId="3" fontId="10" fillId="33" borderId="24" xfId="54" applyNumberFormat="1" applyFont="1" applyFill="1" applyBorder="1" applyAlignment="1">
      <alignment horizontal="center" vertical="top" wrapText="1"/>
      <protection/>
    </xf>
    <xf numFmtId="1" fontId="8" fillId="33" borderId="10" xfId="54" applyNumberFormat="1" applyFont="1" applyFill="1" applyBorder="1" applyAlignment="1">
      <alignment horizontal="center"/>
      <protection/>
    </xf>
    <xf numFmtId="180" fontId="11" fillId="33" borderId="15" xfId="0" applyNumberFormat="1" applyFont="1" applyFill="1" applyBorder="1" applyAlignment="1">
      <alignment vertical="center" wrapText="1"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26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180" fontId="11" fillId="33" borderId="10" xfId="0" applyNumberFormat="1" applyFont="1" applyFill="1" applyBorder="1" applyAlignment="1">
      <alignment horizontal="center" vertical="center" wrapText="1"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180" fontId="11" fillId="33" borderId="20" xfId="0" applyNumberFormat="1" applyFont="1" applyFill="1" applyBorder="1" applyAlignment="1">
      <alignment horizontal="center" vertical="center" wrapText="1"/>
    </xf>
    <xf numFmtId="180" fontId="11" fillId="33" borderId="27" xfId="0" applyNumberFormat="1" applyFont="1" applyFill="1" applyBorder="1" applyAlignment="1">
      <alignment horizontal="center" vertical="center" wrapText="1"/>
    </xf>
    <xf numFmtId="180" fontId="11" fillId="33" borderId="28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23" xfId="0" applyNumberFormat="1" applyFont="1" applyFill="1" applyBorder="1" applyAlignment="1">
      <alignment horizontal="center" vertical="center" wrapText="1"/>
    </xf>
    <xf numFmtId="180" fontId="11" fillId="33" borderId="22" xfId="0" applyNumberFormat="1" applyFont="1" applyFill="1" applyBorder="1" applyAlignment="1">
      <alignment horizontal="center" vertical="center" wrapText="1"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29" xfId="54" applyNumberFormat="1" applyFont="1" applyFill="1" applyBorder="1" applyAlignment="1">
      <alignment horizontal="center" vertical="center" wrapText="1"/>
      <protection/>
    </xf>
    <xf numFmtId="177" fontId="11" fillId="33" borderId="25" xfId="54" applyNumberFormat="1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23" xfId="54" applyNumberFormat="1" applyFont="1" applyFill="1" applyBorder="1" applyAlignment="1">
      <alignment horizontal="center" vertical="center" wrapText="1"/>
      <protection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/>
      <protection/>
    </xf>
    <xf numFmtId="0" fontId="11" fillId="33" borderId="26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177" fontId="13" fillId="33" borderId="29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180" fontId="11" fillId="33" borderId="18" xfId="0" applyNumberFormat="1" applyFont="1" applyFill="1" applyBorder="1" applyAlignment="1">
      <alignment horizontal="center" vertical="center" wrapText="1"/>
    </xf>
    <xf numFmtId="180" fontId="11" fillId="33" borderId="26" xfId="0" applyNumberFormat="1" applyFont="1" applyFill="1" applyBorder="1" applyAlignment="1">
      <alignment horizontal="center" vertical="center" wrapText="1"/>
    </xf>
    <xf numFmtId="177" fontId="11" fillId="33" borderId="18" xfId="54" applyNumberFormat="1" applyFont="1" applyFill="1" applyBorder="1" applyAlignment="1">
      <alignment horizontal="center" vertical="center" wrapText="1"/>
      <protection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3" fillId="33" borderId="16" xfId="54" applyFont="1" applyFill="1" applyBorder="1" applyAlignment="1">
      <alignment horizontal="center" vertical="center" wrapText="1"/>
      <protection/>
    </xf>
    <xf numFmtId="0" fontId="13" fillId="33" borderId="25" xfId="54" applyFont="1" applyFill="1" applyBorder="1" applyAlignment="1">
      <alignment horizontal="center" vertical="center" wrapText="1"/>
      <protection/>
    </xf>
    <xf numFmtId="0" fontId="8" fillId="33" borderId="0" xfId="54" applyFont="1" applyFill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view="pageBreakPreview" zoomScale="71" zoomScaleNormal="74" zoomScaleSheetLayoutView="71" zoomScalePageLayoutView="0" workbookViewId="0" topLeftCell="A1">
      <pane xSplit="3" ySplit="7" topLeftCell="W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34" sqref="S34"/>
    </sheetView>
  </sheetViews>
  <sheetFormatPr defaultColWidth="9.140625" defaultRowHeight="12.75"/>
  <cols>
    <col min="1" max="1" width="9.00390625" style="4" customWidth="1"/>
    <col min="2" max="2" width="20.140625" style="4" customWidth="1"/>
    <col min="3" max="3" width="14.8515625" style="4" customWidth="1"/>
    <col min="4" max="4" width="14.7109375" style="5" customWidth="1"/>
    <col min="5" max="5" width="13.7109375" style="5" customWidth="1"/>
    <col min="6" max="6" width="14.8515625" style="5" customWidth="1"/>
    <col min="7" max="7" width="15.7109375" style="5" customWidth="1"/>
    <col min="8" max="8" width="15.421875" style="5" customWidth="1"/>
    <col min="9" max="9" width="15.28125" style="5" customWidth="1"/>
    <col min="10" max="10" width="16.421875" style="5" customWidth="1"/>
    <col min="11" max="11" width="15.8515625" style="5" customWidth="1"/>
    <col min="12" max="22" width="29.7109375" style="5" customWidth="1"/>
    <col min="23" max="23" width="17.28125" style="19" customWidth="1"/>
    <col min="24" max="24" width="15.140625" style="19" customWidth="1"/>
    <col min="25" max="25" width="15.00390625" style="19" customWidth="1"/>
    <col min="26" max="26" width="12.00390625" style="19" customWidth="1"/>
    <col min="27" max="27" width="15.7109375" style="19" customWidth="1"/>
    <col min="28" max="28" width="14.57421875" style="19" customWidth="1"/>
    <col min="29" max="29" width="13.57421875" style="19" customWidth="1"/>
    <col min="30" max="30" width="19.8515625" style="19" customWidth="1"/>
    <col min="31" max="31" width="20.421875" style="19" customWidth="1"/>
    <col min="32" max="32" width="15.00390625" style="70" customWidth="1"/>
    <col min="33" max="33" width="21.8515625" style="70" customWidth="1"/>
    <col min="34" max="16384" width="9.140625" style="19" customWidth="1"/>
  </cols>
  <sheetData>
    <row r="1" spans="1:33" s="6" customFormat="1" ht="18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 t="s">
        <v>87</v>
      </c>
      <c r="P1" s="104"/>
      <c r="Q1" s="104"/>
      <c r="R1" s="104"/>
      <c r="S1" s="104"/>
      <c r="T1" s="96"/>
      <c r="U1" s="96"/>
      <c r="V1" s="96"/>
      <c r="AF1" s="67"/>
      <c r="AG1" s="67"/>
    </row>
    <row r="2" spans="1:33" s="6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F2" s="67"/>
      <c r="AG2" s="67"/>
    </row>
    <row r="3" spans="1:33" s="83" customFormat="1" ht="36.75" customHeight="1">
      <c r="A3" s="156" t="s">
        <v>81</v>
      </c>
      <c r="B3" s="137" t="s">
        <v>74</v>
      </c>
      <c r="C3" s="137" t="s">
        <v>75</v>
      </c>
      <c r="D3" s="141" t="s">
        <v>76</v>
      </c>
      <c r="E3" s="141"/>
      <c r="F3" s="141"/>
      <c r="G3" s="141"/>
      <c r="H3" s="141"/>
      <c r="I3" s="141"/>
      <c r="J3" s="141"/>
      <c r="K3" s="141"/>
      <c r="L3" s="142" t="s">
        <v>70</v>
      </c>
      <c r="M3" s="143"/>
      <c r="N3" s="143"/>
      <c r="O3" s="143"/>
      <c r="P3" s="143"/>
      <c r="Q3" s="143"/>
      <c r="R3" s="143"/>
      <c r="S3" s="144"/>
      <c r="T3" s="140" t="s">
        <v>78</v>
      </c>
      <c r="U3" s="140" t="s">
        <v>88</v>
      </c>
      <c r="V3" s="140" t="s">
        <v>79</v>
      </c>
      <c r="W3" s="140" t="s">
        <v>80</v>
      </c>
      <c r="X3" s="140"/>
      <c r="Y3" s="140"/>
      <c r="Z3" s="140"/>
      <c r="AA3" s="140"/>
      <c r="AB3" s="140"/>
      <c r="AC3" s="140"/>
      <c r="AD3" s="140"/>
      <c r="AE3" s="140"/>
      <c r="AF3" s="82"/>
      <c r="AG3" s="82"/>
    </row>
    <row r="4" spans="1:33" s="83" customFormat="1" ht="58.5" customHeight="1">
      <c r="A4" s="157"/>
      <c r="B4" s="138"/>
      <c r="C4" s="138"/>
      <c r="D4" s="148" t="s">
        <v>38</v>
      </c>
      <c r="E4" s="149"/>
      <c r="F4" s="149"/>
      <c r="G4" s="149"/>
      <c r="H4" s="149"/>
      <c r="I4" s="149"/>
      <c r="J4" s="149"/>
      <c r="K4" s="150"/>
      <c r="L4" s="145"/>
      <c r="M4" s="146"/>
      <c r="N4" s="146"/>
      <c r="O4" s="146"/>
      <c r="P4" s="146"/>
      <c r="Q4" s="146"/>
      <c r="R4" s="146"/>
      <c r="S4" s="147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51"/>
      <c r="AG4" s="151"/>
    </row>
    <row r="5" spans="1:33" s="83" customFormat="1" ht="65.25" customHeight="1">
      <c r="A5" s="157"/>
      <c r="B5" s="138"/>
      <c r="C5" s="138"/>
      <c r="D5" s="100" t="s">
        <v>53</v>
      </c>
      <c r="E5" s="100" t="s">
        <v>53</v>
      </c>
      <c r="F5" s="100" t="s">
        <v>53</v>
      </c>
      <c r="G5" s="100" t="s">
        <v>41</v>
      </c>
      <c r="H5" s="100" t="s">
        <v>53</v>
      </c>
      <c r="I5" s="100" t="s">
        <v>53</v>
      </c>
      <c r="J5" s="100" t="s">
        <v>41</v>
      </c>
      <c r="K5" s="100" t="s">
        <v>41</v>
      </c>
      <c r="L5" s="148" t="s">
        <v>38</v>
      </c>
      <c r="M5" s="149"/>
      <c r="N5" s="149"/>
      <c r="O5" s="149"/>
      <c r="P5" s="149"/>
      <c r="Q5" s="149"/>
      <c r="R5" s="149"/>
      <c r="S5" s="150"/>
      <c r="T5" s="140"/>
      <c r="U5" s="140"/>
      <c r="V5" s="140"/>
      <c r="W5" s="154" t="s">
        <v>38</v>
      </c>
      <c r="X5" s="154"/>
      <c r="Y5" s="154"/>
      <c r="Z5" s="154"/>
      <c r="AA5" s="154"/>
      <c r="AB5" s="154"/>
      <c r="AC5" s="154"/>
      <c r="AD5" s="155"/>
      <c r="AE5" s="137" t="s">
        <v>62</v>
      </c>
      <c r="AF5" s="151"/>
      <c r="AG5" s="151"/>
    </row>
    <row r="6" spans="1:33" s="83" customFormat="1" ht="77.25" customHeight="1">
      <c r="A6" s="157"/>
      <c r="B6" s="152" t="s">
        <v>73</v>
      </c>
      <c r="C6" s="138"/>
      <c r="D6" s="100" t="s">
        <v>43</v>
      </c>
      <c r="E6" s="100" t="s">
        <v>42</v>
      </c>
      <c r="F6" s="100" t="s">
        <v>44</v>
      </c>
      <c r="G6" s="100" t="s">
        <v>44</v>
      </c>
      <c r="H6" s="100" t="s">
        <v>58</v>
      </c>
      <c r="I6" s="100" t="s">
        <v>56</v>
      </c>
      <c r="J6" s="100" t="s">
        <v>58</v>
      </c>
      <c r="K6" s="100" t="s">
        <v>56</v>
      </c>
      <c r="L6" s="100" t="s">
        <v>53</v>
      </c>
      <c r="M6" s="100" t="s">
        <v>53</v>
      </c>
      <c r="N6" s="100" t="s">
        <v>53</v>
      </c>
      <c r="O6" s="100" t="s">
        <v>41</v>
      </c>
      <c r="P6" s="100" t="s">
        <v>53</v>
      </c>
      <c r="Q6" s="100" t="s">
        <v>53</v>
      </c>
      <c r="R6" s="100" t="s">
        <v>41</v>
      </c>
      <c r="S6" s="100" t="s">
        <v>41</v>
      </c>
      <c r="T6" s="140"/>
      <c r="U6" s="140"/>
      <c r="V6" s="140"/>
      <c r="W6" s="100" t="s">
        <v>53</v>
      </c>
      <c r="X6" s="100" t="s">
        <v>53</v>
      </c>
      <c r="Y6" s="100" t="s">
        <v>53</v>
      </c>
      <c r="Z6" s="100" t="s">
        <v>41</v>
      </c>
      <c r="AA6" s="100" t="s">
        <v>53</v>
      </c>
      <c r="AB6" s="100" t="s">
        <v>53</v>
      </c>
      <c r="AC6" s="100" t="s">
        <v>41</v>
      </c>
      <c r="AD6" s="100" t="s">
        <v>41</v>
      </c>
      <c r="AE6" s="138"/>
      <c r="AF6" s="151"/>
      <c r="AG6" s="151"/>
    </row>
    <row r="7" spans="1:33" s="83" customFormat="1" ht="75.75" customHeight="1">
      <c r="A7" s="158"/>
      <c r="B7" s="152"/>
      <c r="C7" s="139"/>
      <c r="D7" s="100" t="s">
        <v>72</v>
      </c>
      <c r="E7" s="100" t="s">
        <v>72</v>
      </c>
      <c r="F7" s="100" t="s">
        <v>72</v>
      </c>
      <c r="G7" s="100" t="s">
        <v>72</v>
      </c>
      <c r="H7" s="100" t="s">
        <v>72</v>
      </c>
      <c r="I7" s="100" t="s">
        <v>72</v>
      </c>
      <c r="J7" s="100" t="s">
        <v>72</v>
      </c>
      <c r="K7" s="100" t="s">
        <v>72</v>
      </c>
      <c r="L7" s="102" t="s">
        <v>43</v>
      </c>
      <c r="M7" s="100" t="s">
        <v>42</v>
      </c>
      <c r="N7" s="100" t="s">
        <v>44</v>
      </c>
      <c r="O7" s="100" t="s">
        <v>44</v>
      </c>
      <c r="P7" s="100" t="s">
        <v>58</v>
      </c>
      <c r="Q7" s="100" t="s">
        <v>56</v>
      </c>
      <c r="R7" s="100" t="s">
        <v>58</v>
      </c>
      <c r="S7" s="100" t="s">
        <v>56</v>
      </c>
      <c r="T7" s="140"/>
      <c r="U7" s="140"/>
      <c r="V7" s="140"/>
      <c r="W7" s="97" t="s">
        <v>43</v>
      </c>
      <c r="X7" s="100" t="s">
        <v>42</v>
      </c>
      <c r="Y7" s="100" t="s">
        <v>44</v>
      </c>
      <c r="Z7" s="100" t="s">
        <v>44</v>
      </c>
      <c r="AA7" s="100" t="s">
        <v>58</v>
      </c>
      <c r="AB7" s="100" t="s">
        <v>56</v>
      </c>
      <c r="AC7" s="100" t="s">
        <v>58</v>
      </c>
      <c r="AD7" s="100" t="s">
        <v>56</v>
      </c>
      <c r="AE7" s="139"/>
      <c r="AF7" s="151"/>
      <c r="AG7" s="151"/>
    </row>
    <row r="8" spans="1:33" s="41" customFormat="1" ht="18" customHeight="1">
      <c r="A8" s="44">
        <v>1</v>
      </c>
      <c r="B8" s="45" t="s">
        <v>0</v>
      </c>
      <c r="C8" s="79">
        <v>5</v>
      </c>
      <c r="D8" s="106">
        <v>183</v>
      </c>
      <c r="E8" s="106"/>
      <c r="F8" s="106"/>
      <c r="G8" s="106">
        <v>6</v>
      </c>
      <c r="H8" s="106">
        <v>4</v>
      </c>
      <c r="I8" s="106"/>
      <c r="J8" s="106"/>
      <c r="K8" s="106">
        <v>3</v>
      </c>
      <c r="L8" s="107">
        <v>23039</v>
      </c>
      <c r="M8" s="107">
        <v>23039</v>
      </c>
      <c r="N8" s="107">
        <v>23039</v>
      </c>
      <c r="O8" s="107">
        <v>24878</v>
      </c>
      <c r="P8" s="107">
        <v>271898</v>
      </c>
      <c r="Q8" s="107">
        <v>271898</v>
      </c>
      <c r="R8" s="107">
        <v>271898</v>
      </c>
      <c r="S8" s="107">
        <v>271898</v>
      </c>
      <c r="T8" s="76">
        <v>1.058</v>
      </c>
      <c r="U8" s="76">
        <f>'Школы-основная'!W8</f>
        <v>1</v>
      </c>
      <c r="V8" s="81">
        <v>0.984</v>
      </c>
      <c r="W8" s="54">
        <f>ROUND(D8*L8*T8*V8*U8/1000,1)</f>
        <v>4389.3</v>
      </c>
      <c r="X8" s="54">
        <f>ROUND(E8*M8*V8*U8/1000,1)</f>
        <v>0</v>
      </c>
      <c r="Y8" s="54">
        <f>ROUND(F8*N8/1000*V8*U8,1)</f>
        <v>0</v>
      </c>
      <c r="Z8" s="54">
        <f>ROUND(G8*O8/1000*V8*U8,1)</f>
        <v>146.9</v>
      </c>
      <c r="AA8" s="54">
        <f>ROUND(H8*P8/1000*V8*U8,1)</f>
        <v>1070.2</v>
      </c>
      <c r="AB8" s="54">
        <f>ROUND(I8*Q8/1000*V8*U8,1)</f>
        <v>0</v>
      </c>
      <c r="AC8" s="54">
        <f>ROUND(J8*R8/1000*V8*U8,1)</f>
        <v>0</v>
      </c>
      <c r="AD8" s="54">
        <f>ROUND(K8*S8/1000*V8*U8,1)</f>
        <v>802.6</v>
      </c>
      <c r="AE8" s="54">
        <f aca="true" t="shared" si="0" ref="AE8:AE46">SUM(W8:AD8)</f>
        <v>6409</v>
      </c>
      <c r="AF8" s="68"/>
      <c r="AG8" s="68"/>
    </row>
    <row r="9" spans="1:33" s="41" customFormat="1" ht="15.75">
      <c r="A9" s="35">
        <v>2</v>
      </c>
      <c r="B9" s="45" t="s">
        <v>60</v>
      </c>
      <c r="C9" s="79">
        <v>6</v>
      </c>
      <c r="D9" s="66">
        <v>296</v>
      </c>
      <c r="E9" s="66">
        <v>2</v>
      </c>
      <c r="F9" s="66"/>
      <c r="G9" s="66">
        <v>3</v>
      </c>
      <c r="H9" s="66"/>
      <c r="I9" s="66"/>
      <c r="J9" s="66"/>
      <c r="K9" s="66"/>
      <c r="L9" s="107">
        <v>24647</v>
      </c>
      <c r="M9" s="107">
        <v>24647</v>
      </c>
      <c r="N9" s="107">
        <v>24647</v>
      </c>
      <c r="O9" s="108">
        <v>26690</v>
      </c>
      <c r="P9" s="107">
        <v>271898</v>
      </c>
      <c r="Q9" s="107">
        <v>271898</v>
      </c>
      <c r="R9" s="107">
        <v>271898</v>
      </c>
      <c r="S9" s="107">
        <v>271898</v>
      </c>
      <c r="T9" s="76">
        <v>1</v>
      </c>
      <c r="U9" s="76">
        <f>'Школы-основная'!W9</f>
        <v>1.06</v>
      </c>
      <c r="V9" s="81">
        <v>1</v>
      </c>
      <c r="W9" s="54">
        <f aca="true" t="shared" si="1" ref="W9:W46">ROUND(D9*L9*T9*V9*U9/1000,1)</f>
        <v>7733.2</v>
      </c>
      <c r="X9" s="54">
        <f aca="true" t="shared" si="2" ref="X9:X46">ROUND(E9*M9*V9*U9/1000,1)</f>
        <v>52.3</v>
      </c>
      <c r="Y9" s="54">
        <f aca="true" t="shared" si="3" ref="Y9:Y46">ROUND(F9*N9/1000*V9*U9,1)</f>
        <v>0</v>
      </c>
      <c r="Z9" s="54">
        <f aca="true" t="shared" si="4" ref="Z9:Z46">ROUND(G9*O9/1000*V9*U9,1)</f>
        <v>84.9</v>
      </c>
      <c r="AA9" s="54">
        <f aca="true" t="shared" si="5" ref="AA9:AA46">ROUND(H9*P9/1000*V9*U9,1)</f>
        <v>0</v>
      </c>
      <c r="AB9" s="54">
        <f aca="true" t="shared" si="6" ref="AB9:AB46">ROUND(I9*Q9/1000*V9*U9,1)</f>
        <v>0</v>
      </c>
      <c r="AC9" s="54">
        <f aca="true" t="shared" si="7" ref="AC9:AC46">ROUND(J9*R9/1000*V9*U9,1)</f>
        <v>0</v>
      </c>
      <c r="AD9" s="54">
        <f aca="true" t="shared" si="8" ref="AD9:AD46">ROUND(K9*S9/1000*V9*U9,1)</f>
        <v>0</v>
      </c>
      <c r="AE9" s="54">
        <f t="shared" si="0"/>
        <v>7870.4</v>
      </c>
      <c r="AF9" s="68"/>
      <c r="AG9" s="68"/>
    </row>
    <row r="10" spans="1:33" s="41" customFormat="1" ht="15.75">
      <c r="A10" s="35">
        <v>3</v>
      </c>
      <c r="B10" s="45" t="s">
        <v>1</v>
      </c>
      <c r="C10" s="79">
        <v>6</v>
      </c>
      <c r="D10" s="66">
        <v>281</v>
      </c>
      <c r="E10" s="66">
        <v>1</v>
      </c>
      <c r="F10" s="66">
        <v>6</v>
      </c>
      <c r="G10" s="66"/>
      <c r="H10" s="66"/>
      <c r="I10" s="66"/>
      <c r="J10" s="66">
        <v>3</v>
      </c>
      <c r="K10" s="66"/>
      <c r="L10" s="107">
        <v>24647</v>
      </c>
      <c r="M10" s="107">
        <v>24647</v>
      </c>
      <c r="N10" s="107">
        <v>24647</v>
      </c>
      <c r="O10" s="108">
        <v>26690</v>
      </c>
      <c r="P10" s="107">
        <v>271898</v>
      </c>
      <c r="Q10" s="107">
        <v>271898</v>
      </c>
      <c r="R10" s="107">
        <v>271898</v>
      </c>
      <c r="S10" s="107">
        <v>271898</v>
      </c>
      <c r="T10" s="76">
        <v>1.042</v>
      </c>
      <c r="U10" s="76">
        <f>'Школы-основная'!W10</f>
        <v>1</v>
      </c>
      <c r="V10" s="81">
        <v>0.873</v>
      </c>
      <c r="W10" s="54">
        <f t="shared" si="1"/>
        <v>6300.2</v>
      </c>
      <c r="X10" s="54">
        <f t="shared" si="2"/>
        <v>21.5</v>
      </c>
      <c r="Y10" s="54">
        <f t="shared" si="3"/>
        <v>129.1</v>
      </c>
      <c r="Z10" s="54">
        <f t="shared" si="4"/>
        <v>0</v>
      </c>
      <c r="AA10" s="54">
        <f t="shared" si="5"/>
        <v>0</v>
      </c>
      <c r="AB10" s="54">
        <f t="shared" si="6"/>
        <v>0</v>
      </c>
      <c r="AC10" s="54">
        <f t="shared" si="7"/>
        <v>712.1</v>
      </c>
      <c r="AD10" s="54">
        <f t="shared" si="8"/>
        <v>0</v>
      </c>
      <c r="AE10" s="54">
        <f t="shared" si="0"/>
        <v>7162.900000000001</v>
      </c>
      <c r="AF10" s="68"/>
      <c r="AG10" s="68"/>
    </row>
    <row r="11" spans="1:33" s="41" customFormat="1" ht="15.75">
      <c r="A11" s="35">
        <v>4</v>
      </c>
      <c r="B11" s="45" t="s">
        <v>2</v>
      </c>
      <c r="C11" s="79">
        <v>5</v>
      </c>
      <c r="D11" s="109">
        <v>197</v>
      </c>
      <c r="E11" s="109"/>
      <c r="F11" s="109"/>
      <c r="G11" s="109"/>
      <c r="H11" s="109"/>
      <c r="I11" s="109">
        <v>1</v>
      </c>
      <c r="J11" s="109"/>
      <c r="K11" s="109">
        <v>4</v>
      </c>
      <c r="L11" s="107">
        <v>23039</v>
      </c>
      <c r="M11" s="107">
        <v>23039</v>
      </c>
      <c r="N11" s="107">
        <v>23039</v>
      </c>
      <c r="O11" s="108">
        <v>24878</v>
      </c>
      <c r="P11" s="107">
        <v>271898</v>
      </c>
      <c r="Q11" s="107">
        <v>271898</v>
      </c>
      <c r="R11" s="107">
        <v>271898</v>
      </c>
      <c r="S11" s="107">
        <v>271898</v>
      </c>
      <c r="T11" s="76">
        <v>1.015</v>
      </c>
      <c r="U11" s="76">
        <f>'Школы-основная'!W11</f>
        <v>1</v>
      </c>
      <c r="V11" s="81">
        <v>0.833</v>
      </c>
      <c r="W11" s="54">
        <f t="shared" si="1"/>
        <v>3837.4</v>
      </c>
      <c r="X11" s="54">
        <f t="shared" si="2"/>
        <v>0</v>
      </c>
      <c r="Y11" s="54">
        <f t="shared" si="3"/>
        <v>0</v>
      </c>
      <c r="Z11" s="54">
        <f t="shared" si="4"/>
        <v>0</v>
      </c>
      <c r="AA11" s="54">
        <f t="shared" si="5"/>
        <v>0</v>
      </c>
      <c r="AB11" s="54">
        <f t="shared" si="6"/>
        <v>226.5</v>
      </c>
      <c r="AC11" s="54">
        <f t="shared" si="7"/>
        <v>0</v>
      </c>
      <c r="AD11" s="54">
        <f t="shared" si="8"/>
        <v>906</v>
      </c>
      <c r="AE11" s="54">
        <f t="shared" si="0"/>
        <v>4969.9</v>
      </c>
      <c r="AF11" s="68"/>
      <c r="AG11" s="68"/>
    </row>
    <row r="12" spans="1:33" s="41" customFormat="1" ht="15.75">
      <c r="A12" s="35">
        <v>5</v>
      </c>
      <c r="B12" s="45" t="s">
        <v>59</v>
      </c>
      <c r="C12" s="79">
        <v>5</v>
      </c>
      <c r="D12" s="66">
        <v>47</v>
      </c>
      <c r="E12" s="66">
        <v>3</v>
      </c>
      <c r="F12" s="66"/>
      <c r="G12" s="66">
        <v>5</v>
      </c>
      <c r="H12" s="66"/>
      <c r="I12" s="66"/>
      <c r="J12" s="66">
        <v>2</v>
      </c>
      <c r="K12" s="66"/>
      <c r="L12" s="107">
        <v>23039</v>
      </c>
      <c r="M12" s="107">
        <v>23039</v>
      </c>
      <c r="N12" s="107">
        <v>23039</v>
      </c>
      <c r="O12" s="107">
        <v>24878</v>
      </c>
      <c r="P12" s="107">
        <v>271898</v>
      </c>
      <c r="Q12" s="107">
        <v>271898</v>
      </c>
      <c r="R12" s="107">
        <v>271898</v>
      </c>
      <c r="S12" s="107">
        <v>271898</v>
      </c>
      <c r="T12" s="76">
        <v>1.818</v>
      </c>
      <c r="U12" s="76">
        <f>'Школы-основная'!W12</f>
        <v>1</v>
      </c>
      <c r="V12" s="81">
        <v>0.963</v>
      </c>
      <c r="W12" s="54">
        <f t="shared" si="1"/>
        <v>1895.8</v>
      </c>
      <c r="X12" s="54">
        <f t="shared" si="2"/>
        <v>66.6</v>
      </c>
      <c r="Y12" s="54">
        <f t="shared" si="3"/>
        <v>0</v>
      </c>
      <c r="Z12" s="54">
        <f t="shared" si="4"/>
        <v>119.8</v>
      </c>
      <c r="AA12" s="54">
        <f t="shared" si="5"/>
        <v>0</v>
      </c>
      <c r="AB12" s="54">
        <f t="shared" si="6"/>
        <v>0</v>
      </c>
      <c r="AC12" s="54">
        <f t="shared" si="7"/>
        <v>523.7</v>
      </c>
      <c r="AD12" s="54">
        <f t="shared" si="8"/>
        <v>0</v>
      </c>
      <c r="AE12" s="54">
        <f t="shared" si="0"/>
        <v>2605.8999999999996</v>
      </c>
      <c r="AF12" s="68"/>
      <c r="AG12" s="68"/>
    </row>
    <row r="13" spans="1:33" s="41" customFormat="1" ht="15.75">
      <c r="A13" s="35">
        <v>6</v>
      </c>
      <c r="B13" s="45" t="s">
        <v>3</v>
      </c>
      <c r="C13" s="79">
        <v>5</v>
      </c>
      <c r="D13" s="66">
        <v>290</v>
      </c>
      <c r="E13" s="66">
        <v>3</v>
      </c>
      <c r="F13" s="66">
        <v>1</v>
      </c>
      <c r="G13" s="66">
        <v>2</v>
      </c>
      <c r="H13" s="66"/>
      <c r="I13" s="66"/>
      <c r="J13" s="66">
        <v>2</v>
      </c>
      <c r="K13" s="66">
        <v>1</v>
      </c>
      <c r="L13" s="107">
        <v>23039</v>
      </c>
      <c r="M13" s="107">
        <v>23039</v>
      </c>
      <c r="N13" s="107">
        <v>23039</v>
      </c>
      <c r="O13" s="107">
        <v>24878</v>
      </c>
      <c r="P13" s="107">
        <v>271898</v>
      </c>
      <c r="Q13" s="107">
        <v>271898</v>
      </c>
      <c r="R13" s="107">
        <v>271898</v>
      </c>
      <c r="S13" s="107">
        <v>271898</v>
      </c>
      <c r="T13" s="76">
        <v>1.014</v>
      </c>
      <c r="U13" s="76">
        <f>'Школы-основная'!W13</f>
        <v>1.079</v>
      </c>
      <c r="V13" s="81">
        <v>1</v>
      </c>
      <c r="W13" s="54">
        <f t="shared" si="1"/>
        <v>7310.1</v>
      </c>
      <c r="X13" s="54">
        <f t="shared" si="2"/>
        <v>74.6</v>
      </c>
      <c r="Y13" s="54">
        <f t="shared" si="3"/>
        <v>24.9</v>
      </c>
      <c r="Z13" s="54">
        <f t="shared" si="4"/>
        <v>53.7</v>
      </c>
      <c r="AA13" s="54">
        <f t="shared" si="5"/>
        <v>0</v>
      </c>
      <c r="AB13" s="54">
        <f t="shared" si="6"/>
        <v>0</v>
      </c>
      <c r="AC13" s="54">
        <f t="shared" si="7"/>
        <v>586.8</v>
      </c>
      <c r="AD13" s="54">
        <f t="shared" si="8"/>
        <v>293.4</v>
      </c>
      <c r="AE13" s="54">
        <f t="shared" si="0"/>
        <v>8343.5</v>
      </c>
      <c r="AF13" s="68"/>
      <c r="AG13" s="68"/>
    </row>
    <row r="14" spans="1:33" s="41" customFormat="1" ht="15.75" customHeight="1">
      <c r="A14" s="35">
        <v>7</v>
      </c>
      <c r="B14" s="45" t="s">
        <v>4</v>
      </c>
      <c r="C14" s="79">
        <v>5</v>
      </c>
      <c r="D14" s="66">
        <v>349</v>
      </c>
      <c r="E14" s="66"/>
      <c r="F14" s="66"/>
      <c r="G14" s="66">
        <v>3</v>
      </c>
      <c r="H14" s="66"/>
      <c r="I14" s="66"/>
      <c r="J14" s="66"/>
      <c r="K14" s="66">
        <v>2</v>
      </c>
      <c r="L14" s="107">
        <v>23039</v>
      </c>
      <c r="M14" s="107">
        <v>23039</v>
      </c>
      <c r="N14" s="107">
        <v>23039</v>
      </c>
      <c r="O14" s="107">
        <v>24878</v>
      </c>
      <c r="P14" s="107">
        <v>271898</v>
      </c>
      <c r="Q14" s="107">
        <v>271898</v>
      </c>
      <c r="R14" s="107">
        <v>271898</v>
      </c>
      <c r="S14" s="107">
        <v>271898</v>
      </c>
      <c r="T14" s="76">
        <v>1</v>
      </c>
      <c r="U14" s="76">
        <f>'Школы-основная'!W14</f>
        <v>1.012</v>
      </c>
      <c r="V14" s="81">
        <v>1</v>
      </c>
      <c r="W14" s="54">
        <f t="shared" si="1"/>
        <v>8137.1</v>
      </c>
      <c r="X14" s="54">
        <f t="shared" si="2"/>
        <v>0</v>
      </c>
      <c r="Y14" s="54">
        <f t="shared" si="3"/>
        <v>0</v>
      </c>
      <c r="Z14" s="54">
        <f t="shared" si="4"/>
        <v>75.5</v>
      </c>
      <c r="AA14" s="54">
        <f t="shared" si="5"/>
        <v>0</v>
      </c>
      <c r="AB14" s="54">
        <f t="shared" si="6"/>
        <v>0</v>
      </c>
      <c r="AC14" s="54">
        <f t="shared" si="7"/>
        <v>0</v>
      </c>
      <c r="AD14" s="54">
        <f t="shared" si="8"/>
        <v>550.3</v>
      </c>
      <c r="AE14" s="54">
        <f t="shared" si="0"/>
        <v>8762.9</v>
      </c>
      <c r="AF14" s="68"/>
      <c r="AG14" s="68"/>
    </row>
    <row r="15" spans="1:33" s="48" customFormat="1" ht="15.75">
      <c r="A15" s="46">
        <v>8</v>
      </c>
      <c r="B15" s="47" t="s">
        <v>5</v>
      </c>
      <c r="C15" s="79">
        <v>5</v>
      </c>
      <c r="D15" s="66">
        <v>374</v>
      </c>
      <c r="E15" s="66">
        <v>1</v>
      </c>
      <c r="F15" s="66"/>
      <c r="G15" s="66">
        <v>8</v>
      </c>
      <c r="H15" s="66">
        <v>2</v>
      </c>
      <c r="I15" s="66"/>
      <c r="J15" s="66"/>
      <c r="K15" s="66">
        <v>1</v>
      </c>
      <c r="L15" s="107">
        <v>23039</v>
      </c>
      <c r="M15" s="107">
        <v>23039</v>
      </c>
      <c r="N15" s="107">
        <v>23039</v>
      </c>
      <c r="O15" s="107">
        <v>24878</v>
      </c>
      <c r="P15" s="107">
        <v>271898</v>
      </c>
      <c r="Q15" s="107">
        <v>271898</v>
      </c>
      <c r="R15" s="107">
        <v>271898</v>
      </c>
      <c r="S15" s="107">
        <v>271898</v>
      </c>
      <c r="T15" s="76">
        <v>1</v>
      </c>
      <c r="U15" s="76">
        <f>'Школы-основная'!W15</f>
        <v>1</v>
      </c>
      <c r="V15" s="81">
        <v>0.946</v>
      </c>
      <c r="W15" s="54">
        <f t="shared" si="1"/>
        <v>8151.3</v>
      </c>
      <c r="X15" s="54">
        <f t="shared" si="2"/>
        <v>21.8</v>
      </c>
      <c r="Y15" s="54">
        <f t="shared" si="3"/>
        <v>0</v>
      </c>
      <c r="Z15" s="54">
        <f t="shared" si="4"/>
        <v>188.3</v>
      </c>
      <c r="AA15" s="54">
        <f t="shared" si="5"/>
        <v>514.4</v>
      </c>
      <c r="AB15" s="54">
        <f t="shared" si="6"/>
        <v>0</v>
      </c>
      <c r="AC15" s="54">
        <f t="shared" si="7"/>
        <v>0</v>
      </c>
      <c r="AD15" s="54">
        <f t="shared" si="8"/>
        <v>257.2</v>
      </c>
      <c r="AE15" s="54">
        <f t="shared" si="0"/>
        <v>9133</v>
      </c>
      <c r="AF15" s="68"/>
      <c r="AG15" s="68"/>
    </row>
    <row r="16" spans="1:33" s="41" customFormat="1" ht="15.75">
      <c r="A16" s="35">
        <v>9</v>
      </c>
      <c r="B16" s="45" t="s">
        <v>6</v>
      </c>
      <c r="C16" s="79">
        <v>5</v>
      </c>
      <c r="D16" s="66">
        <v>18</v>
      </c>
      <c r="E16" s="66"/>
      <c r="F16" s="66"/>
      <c r="G16" s="66"/>
      <c r="H16" s="66"/>
      <c r="I16" s="66"/>
      <c r="J16" s="66"/>
      <c r="K16" s="66"/>
      <c r="L16" s="108">
        <v>25813</v>
      </c>
      <c r="M16" s="108">
        <v>25813</v>
      </c>
      <c r="N16" s="108">
        <v>25813</v>
      </c>
      <c r="O16" s="108">
        <v>27652</v>
      </c>
      <c r="P16" s="108">
        <v>301324</v>
      </c>
      <c r="Q16" s="108">
        <v>301324</v>
      </c>
      <c r="R16" s="108">
        <v>301324</v>
      </c>
      <c r="S16" s="108">
        <v>301324</v>
      </c>
      <c r="T16" s="77">
        <v>2.778</v>
      </c>
      <c r="U16" s="76">
        <f>'Школы-основная'!W16</f>
        <v>1</v>
      </c>
      <c r="V16" s="81">
        <v>0.809</v>
      </c>
      <c r="W16" s="54">
        <f t="shared" si="1"/>
        <v>1044.2</v>
      </c>
      <c r="X16" s="54">
        <f t="shared" si="2"/>
        <v>0</v>
      </c>
      <c r="Y16" s="54">
        <f t="shared" si="3"/>
        <v>0</v>
      </c>
      <c r="Z16" s="54">
        <f t="shared" si="4"/>
        <v>0</v>
      </c>
      <c r="AA16" s="54">
        <f t="shared" si="5"/>
        <v>0</v>
      </c>
      <c r="AB16" s="54">
        <f t="shared" si="6"/>
        <v>0</v>
      </c>
      <c r="AC16" s="54">
        <f t="shared" si="7"/>
        <v>0</v>
      </c>
      <c r="AD16" s="54">
        <f t="shared" si="8"/>
        <v>0</v>
      </c>
      <c r="AE16" s="54">
        <f t="shared" si="0"/>
        <v>1044.2</v>
      </c>
      <c r="AF16" s="68"/>
      <c r="AG16" s="68"/>
    </row>
    <row r="17" spans="1:33" s="41" customFormat="1" ht="15.75">
      <c r="A17" s="46">
        <v>10</v>
      </c>
      <c r="B17" s="36" t="s">
        <v>7</v>
      </c>
      <c r="C17" s="79">
        <v>5</v>
      </c>
      <c r="D17" s="66">
        <v>75</v>
      </c>
      <c r="E17" s="66"/>
      <c r="F17" s="66"/>
      <c r="G17" s="66"/>
      <c r="H17" s="66"/>
      <c r="I17" s="66"/>
      <c r="J17" s="66">
        <v>1</v>
      </c>
      <c r="K17" s="66">
        <v>1</v>
      </c>
      <c r="L17" s="108">
        <v>25813</v>
      </c>
      <c r="M17" s="108">
        <v>25813</v>
      </c>
      <c r="N17" s="108">
        <v>25813</v>
      </c>
      <c r="O17" s="108">
        <v>27652</v>
      </c>
      <c r="P17" s="108">
        <v>301324</v>
      </c>
      <c r="Q17" s="108">
        <v>301324</v>
      </c>
      <c r="R17" s="108">
        <v>301324</v>
      </c>
      <c r="S17" s="108">
        <v>301324</v>
      </c>
      <c r="T17" s="77">
        <v>1.333</v>
      </c>
      <c r="U17" s="76">
        <f>'Школы-основная'!W17</f>
        <v>1</v>
      </c>
      <c r="V17" s="81">
        <v>0.994</v>
      </c>
      <c r="W17" s="54">
        <f t="shared" si="1"/>
        <v>2565.2</v>
      </c>
      <c r="X17" s="54">
        <f t="shared" si="2"/>
        <v>0</v>
      </c>
      <c r="Y17" s="54">
        <f t="shared" si="3"/>
        <v>0</v>
      </c>
      <c r="Z17" s="54">
        <f t="shared" si="4"/>
        <v>0</v>
      </c>
      <c r="AA17" s="54">
        <f t="shared" si="5"/>
        <v>0</v>
      </c>
      <c r="AB17" s="54">
        <f t="shared" si="6"/>
        <v>0</v>
      </c>
      <c r="AC17" s="54">
        <f t="shared" si="7"/>
        <v>299.5</v>
      </c>
      <c r="AD17" s="54">
        <f t="shared" si="8"/>
        <v>299.5</v>
      </c>
      <c r="AE17" s="54">
        <f t="shared" si="0"/>
        <v>3164.2</v>
      </c>
      <c r="AF17" s="68"/>
      <c r="AG17" s="68"/>
    </row>
    <row r="18" spans="1:33" s="41" customFormat="1" ht="15.75">
      <c r="A18" s="35">
        <v>11</v>
      </c>
      <c r="B18" s="36" t="s">
        <v>8</v>
      </c>
      <c r="C18" s="79">
        <v>5</v>
      </c>
      <c r="D18" s="66">
        <v>104</v>
      </c>
      <c r="E18" s="66">
        <v>1</v>
      </c>
      <c r="F18" s="66"/>
      <c r="G18" s="66"/>
      <c r="H18" s="66"/>
      <c r="I18" s="66"/>
      <c r="J18" s="66">
        <v>1</v>
      </c>
      <c r="K18" s="66"/>
      <c r="L18" s="108">
        <v>25813</v>
      </c>
      <c r="M18" s="108">
        <v>25813</v>
      </c>
      <c r="N18" s="108">
        <v>25813</v>
      </c>
      <c r="O18" s="108">
        <v>27652</v>
      </c>
      <c r="P18" s="108">
        <v>301324</v>
      </c>
      <c r="Q18" s="108">
        <v>301324</v>
      </c>
      <c r="R18" s="108">
        <v>301324</v>
      </c>
      <c r="S18" s="108">
        <v>301324</v>
      </c>
      <c r="T18" s="77">
        <v>1.19</v>
      </c>
      <c r="U18" s="76">
        <f>'Школы-основная'!W18</f>
        <v>1.143</v>
      </c>
      <c r="V18" s="81">
        <v>1</v>
      </c>
      <c r="W18" s="54">
        <f t="shared" si="1"/>
        <v>3651.4</v>
      </c>
      <c r="X18" s="54">
        <f t="shared" si="2"/>
        <v>29.5</v>
      </c>
      <c r="Y18" s="54">
        <f t="shared" si="3"/>
        <v>0</v>
      </c>
      <c r="Z18" s="54">
        <f t="shared" si="4"/>
        <v>0</v>
      </c>
      <c r="AA18" s="54">
        <f t="shared" si="5"/>
        <v>0</v>
      </c>
      <c r="AB18" s="54">
        <f t="shared" si="6"/>
        <v>0</v>
      </c>
      <c r="AC18" s="54">
        <f t="shared" si="7"/>
        <v>344.4</v>
      </c>
      <c r="AD18" s="54">
        <f t="shared" si="8"/>
        <v>0</v>
      </c>
      <c r="AE18" s="54">
        <f t="shared" si="0"/>
        <v>4025.3</v>
      </c>
      <c r="AF18" s="68"/>
      <c r="AG18" s="68"/>
    </row>
    <row r="19" spans="1:33" s="41" customFormat="1" ht="15.75">
      <c r="A19" s="46">
        <v>12</v>
      </c>
      <c r="B19" s="36" t="s">
        <v>9</v>
      </c>
      <c r="C19" s="79">
        <v>5</v>
      </c>
      <c r="D19" s="66">
        <v>103</v>
      </c>
      <c r="E19" s="66"/>
      <c r="F19" s="66"/>
      <c r="G19" s="66"/>
      <c r="H19" s="66"/>
      <c r="I19" s="66"/>
      <c r="J19" s="66">
        <v>3</v>
      </c>
      <c r="K19" s="66"/>
      <c r="L19" s="108">
        <v>25813</v>
      </c>
      <c r="M19" s="108">
        <v>25813</v>
      </c>
      <c r="N19" s="108">
        <v>25813</v>
      </c>
      <c r="O19" s="108">
        <v>27652</v>
      </c>
      <c r="P19" s="108">
        <v>301324</v>
      </c>
      <c r="Q19" s="108">
        <v>301324</v>
      </c>
      <c r="R19" s="108">
        <v>301324</v>
      </c>
      <c r="S19" s="108">
        <v>301324</v>
      </c>
      <c r="T19" s="77">
        <v>1.214</v>
      </c>
      <c r="U19" s="76">
        <f>'Школы-основная'!W19</f>
        <v>1</v>
      </c>
      <c r="V19" s="81">
        <v>0.938</v>
      </c>
      <c r="W19" s="54">
        <f t="shared" si="1"/>
        <v>3027.6</v>
      </c>
      <c r="X19" s="54">
        <f t="shared" si="2"/>
        <v>0</v>
      </c>
      <c r="Y19" s="54">
        <f t="shared" si="3"/>
        <v>0</v>
      </c>
      <c r="Z19" s="54">
        <f t="shared" si="4"/>
        <v>0</v>
      </c>
      <c r="AA19" s="54">
        <f t="shared" si="5"/>
        <v>0</v>
      </c>
      <c r="AB19" s="54">
        <f t="shared" si="6"/>
        <v>0</v>
      </c>
      <c r="AC19" s="54">
        <f t="shared" si="7"/>
        <v>847.9</v>
      </c>
      <c r="AD19" s="54">
        <f t="shared" si="8"/>
        <v>0</v>
      </c>
      <c r="AE19" s="54">
        <f t="shared" si="0"/>
        <v>3875.5</v>
      </c>
      <c r="AF19" s="68"/>
      <c r="AG19" s="68"/>
    </row>
    <row r="20" spans="1:33" s="41" customFormat="1" ht="15.75">
      <c r="A20" s="35">
        <v>13</v>
      </c>
      <c r="B20" s="36" t="s">
        <v>10</v>
      </c>
      <c r="C20" s="79">
        <v>5</v>
      </c>
      <c r="D20" s="66">
        <v>305</v>
      </c>
      <c r="E20" s="66"/>
      <c r="F20" s="66"/>
      <c r="G20" s="66"/>
      <c r="H20" s="66"/>
      <c r="I20" s="66"/>
      <c r="J20" s="66">
        <v>6</v>
      </c>
      <c r="K20" s="66"/>
      <c r="L20" s="108">
        <v>25813</v>
      </c>
      <c r="M20" s="108">
        <v>25813</v>
      </c>
      <c r="N20" s="108">
        <v>25813</v>
      </c>
      <c r="O20" s="108">
        <v>27652</v>
      </c>
      <c r="P20" s="108">
        <v>301324</v>
      </c>
      <c r="Q20" s="108">
        <v>301324</v>
      </c>
      <c r="R20" s="108">
        <v>301324</v>
      </c>
      <c r="S20" s="108">
        <v>301324</v>
      </c>
      <c r="T20" s="77">
        <v>1.148</v>
      </c>
      <c r="U20" s="76">
        <f>'Школы-основная'!W20</f>
        <v>1</v>
      </c>
      <c r="V20" s="81">
        <v>0.928</v>
      </c>
      <c r="W20" s="54">
        <f t="shared" si="1"/>
        <v>8387.4</v>
      </c>
      <c r="X20" s="54">
        <f t="shared" si="2"/>
        <v>0</v>
      </c>
      <c r="Y20" s="54">
        <f t="shared" si="3"/>
        <v>0</v>
      </c>
      <c r="Z20" s="54">
        <f t="shared" si="4"/>
        <v>0</v>
      </c>
      <c r="AA20" s="54">
        <f t="shared" si="5"/>
        <v>0</v>
      </c>
      <c r="AB20" s="54">
        <f t="shared" si="6"/>
        <v>0</v>
      </c>
      <c r="AC20" s="54">
        <f t="shared" si="7"/>
        <v>1677.8</v>
      </c>
      <c r="AD20" s="54">
        <f t="shared" si="8"/>
        <v>0</v>
      </c>
      <c r="AE20" s="54">
        <f t="shared" si="0"/>
        <v>10065.199999999999</v>
      </c>
      <c r="AF20" s="68"/>
      <c r="AG20" s="68"/>
    </row>
    <row r="21" spans="1:33" s="41" customFormat="1" ht="19.5" customHeight="1">
      <c r="A21" s="46">
        <v>14</v>
      </c>
      <c r="B21" s="36" t="s">
        <v>11</v>
      </c>
      <c r="C21" s="79">
        <v>5</v>
      </c>
      <c r="D21" s="66">
        <v>41</v>
      </c>
      <c r="E21" s="66"/>
      <c r="F21" s="66"/>
      <c r="G21" s="66">
        <v>1</v>
      </c>
      <c r="H21" s="66"/>
      <c r="I21" s="66"/>
      <c r="J21" s="66"/>
      <c r="K21" s="66">
        <v>1</v>
      </c>
      <c r="L21" s="108">
        <v>25813</v>
      </c>
      <c r="M21" s="108">
        <v>25813</v>
      </c>
      <c r="N21" s="108">
        <v>25813</v>
      </c>
      <c r="O21" s="108">
        <v>27652</v>
      </c>
      <c r="P21" s="108">
        <v>301324</v>
      </c>
      <c r="Q21" s="108">
        <v>301324</v>
      </c>
      <c r="R21" s="108">
        <v>301324</v>
      </c>
      <c r="S21" s="108">
        <v>301324</v>
      </c>
      <c r="T21" s="77">
        <v>3.571</v>
      </c>
      <c r="U21" s="76">
        <f>'Школы-основная'!W21</f>
        <v>1</v>
      </c>
      <c r="V21" s="81">
        <v>0.81</v>
      </c>
      <c r="W21" s="54">
        <f t="shared" si="1"/>
        <v>3061.2</v>
      </c>
      <c r="X21" s="54">
        <f t="shared" si="2"/>
        <v>0</v>
      </c>
      <c r="Y21" s="54">
        <f t="shared" si="3"/>
        <v>0</v>
      </c>
      <c r="Z21" s="54">
        <f t="shared" si="4"/>
        <v>22.4</v>
      </c>
      <c r="AA21" s="54">
        <f t="shared" si="5"/>
        <v>0</v>
      </c>
      <c r="AB21" s="54">
        <f t="shared" si="6"/>
        <v>0</v>
      </c>
      <c r="AC21" s="54">
        <f t="shared" si="7"/>
        <v>0</v>
      </c>
      <c r="AD21" s="54">
        <f t="shared" si="8"/>
        <v>244.1</v>
      </c>
      <c r="AE21" s="54">
        <f t="shared" si="0"/>
        <v>3327.7</v>
      </c>
      <c r="AF21" s="68"/>
      <c r="AG21" s="68"/>
    </row>
    <row r="22" spans="1:33" s="41" customFormat="1" ht="15.75">
      <c r="A22" s="35">
        <v>15</v>
      </c>
      <c r="B22" s="36" t="s">
        <v>12</v>
      </c>
      <c r="C22" s="79">
        <v>5</v>
      </c>
      <c r="D22" s="66">
        <v>195</v>
      </c>
      <c r="E22" s="66">
        <v>2</v>
      </c>
      <c r="F22" s="66"/>
      <c r="G22" s="66">
        <v>1</v>
      </c>
      <c r="H22" s="66">
        <v>1</v>
      </c>
      <c r="I22" s="66"/>
      <c r="J22" s="66">
        <v>1</v>
      </c>
      <c r="K22" s="66"/>
      <c r="L22" s="108">
        <v>25813</v>
      </c>
      <c r="M22" s="108">
        <v>25813</v>
      </c>
      <c r="N22" s="108">
        <v>25813</v>
      </c>
      <c r="O22" s="108">
        <v>27652</v>
      </c>
      <c r="P22" s="108">
        <v>301324</v>
      </c>
      <c r="Q22" s="108">
        <v>301324</v>
      </c>
      <c r="R22" s="108">
        <v>301324</v>
      </c>
      <c r="S22" s="108">
        <v>301324</v>
      </c>
      <c r="T22" s="77">
        <v>1.136</v>
      </c>
      <c r="U22" s="76">
        <f>'Школы-основная'!W22</f>
        <v>1</v>
      </c>
      <c r="V22" s="81">
        <v>0.973</v>
      </c>
      <c r="W22" s="54">
        <f t="shared" si="1"/>
        <v>5563.7</v>
      </c>
      <c r="X22" s="54">
        <f t="shared" si="2"/>
        <v>50.2</v>
      </c>
      <c r="Y22" s="54">
        <f t="shared" si="3"/>
        <v>0</v>
      </c>
      <c r="Z22" s="54">
        <f t="shared" si="4"/>
        <v>26.9</v>
      </c>
      <c r="AA22" s="54">
        <f t="shared" si="5"/>
        <v>293.2</v>
      </c>
      <c r="AB22" s="54">
        <f t="shared" si="6"/>
        <v>0</v>
      </c>
      <c r="AC22" s="54">
        <f t="shared" si="7"/>
        <v>293.2</v>
      </c>
      <c r="AD22" s="54">
        <f t="shared" si="8"/>
        <v>0</v>
      </c>
      <c r="AE22" s="54">
        <f t="shared" si="0"/>
        <v>6227.199999999999</v>
      </c>
      <c r="AF22" s="68"/>
      <c r="AG22" s="68"/>
    </row>
    <row r="23" spans="1:33" s="41" customFormat="1" ht="15.75" customHeight="1">
      <c r="A23" s="46">
        <v>16</v>
      </c>
      <c r="B23" s="36" t="s">
        <v>13</v>
      </c>
      <c r="C23" s="79">
        <v>5</v>
      </c>
      <c r="D23" s="66">
        <v>70</v>
      </c>
      <c r="E23" s="66"/>
      <c r="F23" s="66"/>
      <c r="G23" s="66">
        <v>5</v>
      </c>
      <c r="H23" s="66">
        <v>1</v>
      </c>
      <c r="I23" s="66"/>
      <c r="J23" s="66">
        <v>1</v>
      </c>
      <c r="K23" s="66"/>
      <c r="L23" s="108">
        <v>25813</v>
      </c>
      <c r="M23" s="108">
        <v>25813</v>
      </c>
      <c r="N23" s="108">
        <v>25813</v>
      </c>
      <c r="O23" s="108">
        <v>27652</v>
      </c>
      <c r="P23" s="108">
        <v>301324</v>
      </c>
      <c r="Q23" s="108">
        <v>301324</v>
      </c>
      <c r="R23" s="108">
        <v>301324</v>
      </c>
      <c r="S23" s="108">
        <v>301324</v>
      </c>
      <c r="T23" s="77">
        <v>1.333</v>
      </c>
      <c r="U23" s="76">
        <f>'Школы-основная'!W23</f>
        <v>1</v>
      </c>
      <c r="V23" s="81">
        <v>0.803</v>
      </c>
      <c r="W23" s="54">
        <f t="shared" si="1"/>
        <v>1934.1</v>
      </c>
      <c r="X23" s="54">
        <f t="shared" si="2"/>
        <v>0</v>
      </c>
      <c r="Y23" s="54">
        <f t="shared" si="3"/>
        <v>0</v>
      </c>
      <c r="Z23" s="54">
        <f t="shared" si="4"/>
        <v>111</v>
      </c>
      <c r="AA23" s="54">
        <f t="shared" si="5"/>
        <v>242</v>
      </c>
      <c r="AB23" s="54">
        <f t="shared" si="6"/>
        <v>0</v>
      </c>
      <c r="AC23" s="54">
        <f t="shared" si="7"/>
        <v>242</v>
      </c>
      <c r="AD23" s="54">
        <f t="shared" si="8"/>
        <v>0</v>
      </c>
      <c r="AE23" s="54">
        <f t="shared" si="0"/>
        <v>2529.1</v>
      </c>
      <c r="AF23" s="68"/>
      <c r="AG23" s="68"/>
    </row>
    <row r="24" spans="1:33" s="41" customFormat="1" ht="19.5" customHeight="1">
      <c r="A24" s="35">
        <v>17</v>
      </c>
      <c r="B24" s="36" t="s">
        <v>14</v>
      </c>
      <c r="C24" s="79">
        <v>5</v>
      </c>
      <c r="D24" s="66">
        <v>12</v>
      </c>
      <c r="E24" s="110"/>
      <c r="F24" s="110"/>
      <c r="G24" s="110"/>
      <c r="H24" s="110"/>
      <c r="I24" s="110"/>
      <c r="J24" s="110"/>
      <c r="K24" s="110"/>
      <c r="L24" s="108">
        <v>25813</v>
      </c>
      <c r="M24" s="108">
        <v>25813</v>
      </c>
      <c r="N24" s="108">
        <v>25813</v>
      </c>
      <c r="O24" s="108">
        <v>29660</v>
      </c>
      <c r="P24" s="108">
        <v>301324</v>
      </c>
      <c r="Q24" s="108">
        <v>301324</v>
      </c>
      <c r="R24" s="108">
        <v>301324</v>
      </c>
      <c r="S24" s="108">
        <v>301324</v>
      </c>
      <c r="T24" s="77">
        <v>4.167</v>
      </c>
      <c r="U24" s="76">
        <f>'Школы-основная'!W24</f>
        <v>1</v>
      </c>
      <c r="V24" s="81">
        <v>0.692</v>
      </c>
      <c r="W24" s="54">
        <f t="shared" si="1"/>
        <v>893.2</v>
      </c>
      <c r="X24" s="54">
        <f t="shared" si="2"/>
        <v>0</v>
      </c>
      <c r="Y24" s="54">
        <f t="shared" si="3"/>
        <v>0</v>
      </c>
      <c r="Z24" s="54">
        <f t="shared" si="4"/>
        <v>0</v>
      </c>
      <c r="AA24" s="54">
        <f t="shared" si="5"/>
        <v>0</v>
      </c>
      <c r="AB24" s="54">
        <f t="shared" si="6"/>
        <v>0</v>
      </c>
      <c r="AC24" s="54">
        <f t="shared" si="7"/>
        <v>0</v>
      </c>
      <c r="AD24" s="54">
        <f t="shared" si="8"/>
        <v>0</v>
      </c>
      <c r="AE24" s="54">
        <f t="shared" si="0"/>
        <v>893.2</v>
      </c>
      <c r="AF24" s="68"/>
      <c r="AG24" s="68"/>
    </row>
    <row r="25" spans="1:33" s="41" customFormat="1" ht="15.75">
      <c r="A25" s="46">
        <v>18</v>
      </c>
      <c r="B25" s="36" t="s">
        <v>15</v>
      </c>
      <c r="C25" s="79">
        <v>5</v>
      </c>
      <c r="D25" s="66">
        <v>29</v>
      </c>
      <c r="E25" s="66"/>
      <c r="F25" s="66"/>
      <c r="G25" s="66">
        <v>3</v>
      </c>
      <c r="H25" s="66">
        <v>1</v>
      </c>
      <c r="I25" s="66"/>
      <c r="J25" s="66">
        <v>1</v>
      </c>
      <c r="K25" s="66"/>
      <c r="L25" s="108">
        <v>25813</v>
      </c>
      <c r="M25" s="108">
        <v>25813</v>
      </c>
      <c r="N25" s="108">
        <v>25813</v>
      </c>
      <c r="O25" s="108">
        <v>27652</v>
      </c>
      <c r="P25" s="108">
        <v>301324</v>
      </c>
      <c r="Q25" s="108">
        <v>301324</v>
      </c>
      <c r="R25" s="108">
        <v>301324</v>
      </c>
      <c r="S25" s="108">
        <v>301324</v>
      </c>
      <c r="T25" s="77">
        <v>2.344</v>
      </c>
      <c r="U25" s="76">
        <f>'Школы-основная'!W25</f>
        <v>1</v>
      </c>
      <c r="V25" s="81">
        <v>0.709</v>
      </c>
      <c r="W25" s="54">
        <f t="shared" si="1"/>
        <v>1244.1</v>
      </c>
      <c r="X25" s="54">
        <f t="shared" si="2"/>
        <v>0</v>
      </c>
      <c r="Y25" s="54">
        <f t="shared" si="3"/>
        <v>0</v>
      </c>
      <c r="Z25" s="54">
        <f t="shared" si="4"/>
        <v>58.8</v>
      </c>
      <c r="AA25" s="54">
        <f t="shared" si="5"/>
        <v>213.6</v>
      </c>
      <c r="AB25" s="54">
        <f t="shared" si="6"/>
        <v>0</v>
      </c>
      <c r="AC25" s="54">
        <f t="shared" si="7"/>
        <v>213.6</v>
      </c>
      <c r="AD25" s="54">
        <f t="shared" si="8"/>
        <v>0</v>
      </c>
      <c r="AE25" s="54">
        <f t="shared" si="0"/>
        <v>1730.0999999999997</v>
      </c>
      <c r="AF25" s="68"/>
      <c r="AG25" s="68"/>
    </row>
    <row r="26" spans="1:33" s="41" customFormat="1" ht="21" customHeight="1">
      <c r="A26" s="35">
        <v>19</v>
      </c>
      <c r="B26" s="36" t="s">
        <v>16</v>
      </c>
      <c r="C26" s="79">
        <v>5</v>
      </c>
      <c r="D26" s="66">
        <v>118</v>
      </c>
      <c r="E26" s="66"/>
      <c r="F26" s="66"/>
      <c r="G26" s="66">
        <v>1</v>
      </c>
      <c r="H26" s="66"/>
      <c r="I26" s="66"/>
      <c r="J26" s="66"/>
      <c r="K26" s="66">
        <v>2</v>
      </c>
      <c r="L26" s="108">
        <v>25813</v>
      </c>
      <c r="M26" s="108">
        <v>25813</v>
      </c>
      <c r="N26" s="108">
        <v>25813</v>
      </c>
      <c r="O26" s="108">
        <v>27652</v>
      </c>
      <c r="P26" s="108">
        <v>301324</v>
      </c>
      <c r="Q26" s="108">
        <v>301324</v>
      </c>
      <c r="R26" s="108">
        <v>301324</v>
      </c>
      <c r="S26" s="108">
        <v>301324</v>
      </c>
      <c r="T26" s="77">
        <v>1.261</v>
      </c>
      <c r="U26" s="76">
        <f>'Школы-основная'!W26</f>
        <v>1.006</v>
      </c>
      <c r="V26" s="81">
        <v>1</v>
      </c>
      <c r="W26" s="54">
        <f t="shared" si="1"/>
        <v>3864</v>
      </c>
      <c r="X26" s="54">
        <f t="shared" si="2"/>
        <v>0</v>
      </c>
      <c r="Y26" s="54">
        <f t="shared" si="3"/>
        <v>0</v>
      </c>
      <c r="Z26" s="54">
        <f t="shared" si="4"/>
        <v>27.8</v>
      </c>
      <c r="AA26" s="54">
        <f t="shared" si="5"/>
        <v>0</v>
      </c>
      <c r="AB26" s="54">
        <f t="shared" si="6"/>
        <v>0</v>
      </c>
      <c r="AC26" s="54">
        <f t="shared" si="7"/>
        <v>0</v>
      </c>
      <c r="AD26" s="54">
        <f t="shared" si="8"/>
        <v>606.3</v>
      </c>
      <c r="AE26" s="54">
        <f t="shared" si="0"/>
        <v>4498.1</v>
      </c>
      <c r="AF26" s="68"/>
      <c r="AG26" s="68"/>
    </row>
    <row r="27" spans="1:33" s="41" customFormat="1" ht="15.75">
      <c r="A27" s="46">
        <v>20</v>
      </c>
      <c r="B27" s="36" t="s">
        <v>17</v>
      </c>
      <c r="C27" s="79">
        <v>5</v>
      </c>
      <c r="D27" s="66">
        <v>204</v>
      </c>
      <c r="E27" s="66">
        <v>2</v>
      </c>
      <c r="F27" s="66"/>
      <c r="G27" s="66">
        <v>2</v>
      </c>
      <c r="H27" s="66"/>
      <c r="I27" s="66"/>
      <c r="J27" s="66">
        <v>1</v>
      </c>
      <c r="K27" s="66">
        <v>1</v>
      </c>
      <c r="L27" s="108">
        <v>25813</v>
      </c>
      <c r="M27" s="108">
        <v>25813</v>
      </c>
      <c r="N27" s="108">
        <v>25813</v>
      </c>
      <c r="O27" s="108">
        <v>27652</v>
      </c>
      <c r="P27" s="108">
        <v>301324</v>
      </c>
      <c r="Q27" s="108">
        <v>301324</v>
      </c>
      <c r="R27" s="108">
        <v>301324</v>
      </c>
      <c r="S27" s="108">
        <v>301324</v>
      </c>
      <c r="T27" s="77">
        <v>1</v>
      </c>
      <c r="U27" s="76">
        <f>'Школы-основная'!W27</f>
        <v>1.136</v>
      </c>
      <c r="V27" s="81">
        <v>1</v>
      </c>
      <c r="W27" s="54">
        <f t="shared" si="1"/>
        <v>5982</v>
      </c>
      <c r="X27" s="54">
        <f t="shared" si="2"/>
        <v>58.6</v>
      </c>
      <c r="Y27" s="54">
        <f t="shared" si="3"/>
        <v>0</v>
      </c>
      <c r="Z27" s="54">
        <f t="shared" si="4"/>
        <v>62.8</v>
      </c>
      <c r="AA27" s="54">
        <f t="shared" si="5"/>
        <v>0</v>
      </c>
      <c r="AB27" s="54">
        <f t="shared" si="6"/>
        <v>0</v>
      </c>
      <c r="AC27" s="54">
        <f t="shared" si="7"/>
        <v>342.3</v>
      </c>
      <c r="AD27" s="54">
        <f t="shared" si="8"/>
        <v>342.3</v>
      </c>
      <c r="AE27" s="54">
        <f t="shared" si="0"/>
        <v>6788.000000000001</v>
      </c>
      <c r="AF27" s="68"/>
      <c r="AG27" s="68"/>
    </row>
    <row r="28" spans="1:33" s="41" customFormat="1" ht="21.75" customHeight="1">
      <c r="A28" s="35">
        <v>21</v>
      </c>
      <c r="B28" s="36" t="s">
        <v>18</v>
      </c>
      <c r="C28" s="79">
        <v>5</v>
      </c>
      <c r="D28" s="66">
        <v>28</v>
      </c>
      <c r="E28" s="66">
        <v>1</v>
      </c>
      <c r="F28" s="66">
        <v>2</v>
      </c>
      <c r="G28" s="66"/>
      <c r="H28" s="66"/>
      <c r="I28" s="66"/>
      <c r="J28" s="66"/>
      <c r="K28" s="66"/>
      <c r="L28" s="108">
        <v>25813</v>
      </c>
      <c r="M28" s="108">
        <v>25813</v>
      </c>
      <c r="N28" s="108">
        <v>25813</v>
      </c>
      <c r="O28" s="108">
        <v>27652</v>
      </c>
      <c r="P28" s="108">
        <v>301324</v>
      </c>
      <c r="Q28" s="108">
        <v>301324</v>
      </c>
      <c r="R28" s="108">
        <v>301324</v>
      </c>
      <c r="S28" s="108">
        <v>301324</v>
      </c>
      <c r="T28" s="77">
        <v>3.226</v>
      </c>
      <c r="U28" s="76">
        <f>'Школы-основная'!W28</f>
        <v>1</v>
      </c>
      <c r="V28" s="81">
        <v>0.908</v>
      </c>
      <c r="W28" s="54">
        <f t="shared" si="1"/>
        <v>2117.1</v>
      </c>
      <c r="X28" s="54">
        <f t="shared" si="2"/>
        <v>23.4</v>
      </c>
      <c r="Y28" s="54">
        <f t="shared" si="3"/>
        <v>46.9</v>
      </c>
      <c r="Z28" s="54">
        <f t="shared" si="4"/>
        <v>0</v>
      </c>
      <c r="AA28" s="54">
        <f t="shared" si="5"/>
        <v>0</v>
      </c>
      <c r="AB28" s="54">
        <f t="shared" si="6"/>
        <v>0</v>
      </c>
      <c r="AC28" s="54">
        <f t="shared" si="7"/>
        <v>0</v>
      </c>
      <c r="AD28" s="54">
        <f t="shared" si="8"/>
        <v>0</v>
      </c>
      <c r="AE28" s="54">
        <f t="shared" si="0"/>
        <v>2187.4</v>
      </c>
      <c r="AF28" s="68"/>
      <c r="AG28" s="68"/>
    </row>
    <row r="29" spans="1:33" s="41" customFormat="1" ht="15" customHeight="1">
      <c r="A29" s="46">
        <v>22</v>
      </c>
      <c r="B29" s="36" t="s">
        <v>19</v>
      </c>
      <c r="C29" s="79">
        <v>5</v>
      </c>
      <c r="D29" s="66">
        <v>122</v>
      </c>
      <c r="E29" s="66"/>
      <c r="F29" s="66">
        <v>1</v>
      </c>
      <c r="G29" s="66"/>
      <c r="H29" s="66">
        <v>1</v>
      </c>
      <c r="I29" s="66"/>
      <c r="J29" s="66">
        <v>3</v>
      </c>
      <c r="K29" s="66"/>
      <c r="L29" s="108">
        <v>25813</v>
      </c>
      <c r="M29" s="108">
        <v>25813</v>
      </c>
      <c r="N29" s="108">
        <v>25813</v>
      </c>
      <c r="O29" s="108">
        <v>27652</v>
      </c>
      <c r="P29" s="108">
        <v>301324</v>
      </c>
      <c r="Q29" s="108">
        <v>301324</v>
      </c>
      <c r="R29" s="108">
        <v>301324</v>
      </c>
      <c r="S29" s="108">
        <v>301324</v>
      </c>
      <c r="T29" s="77">
        <v>1.22</v>
      </c>
      <c r="U29" s="76">
        <f>'Школы-основная'!W29</f>
        <v>1</v>
      </c>
      <c r="V29" s="81">
        <v>0.969</v>
      </c>
      <c r="W29" s="54">
        <f t="shared" si="1"/>
        <v>3722.9</v>
      </c>
      <c r="X29" s="54">
        <f t="shared" si="2"/>
        <v>0</v>
      </c>
      <c r="Y29" s="54">
        <f t="shared" si="3"/>
        <v>25</v>
      </c>
      <c r="Z29" s="54">
        <f t="shared" si="4"/>
        <v>0</v>
      </c>
      <c r="AA29" s="54">
        <f t="shared" si="5"/>
        <v>292</v>
      </c>
      <c r="AB29" s="54">
        <f t="shared" si="6"/>
        <v>0</v>
      </c>
      <c r="AC29" s="54">
        <f t="shared" si="7"/>
        <v>875.9</v>
      </c>
      <c r="AD29" s="54">
        <f t="shared" si="8"/>
        <v>0</v>
      </c>
      <c r="AE29" s="54">
        <f t="shared" si="0"/>
        <v>4915.8</v>
      </c>
      <c r="AF29" s="68"/>
      <c r="AG29" s="68"/>
    </row>
    <row r="30" spans="1:33" s="41" customFormat="1" ht="18.75" customHeight="1">
      <c r="A30" s="35">
        <v>23</v>
      </c>
      <c r="B30" s="36" t="s">
        <v>20</v>
      </c>
      <c r="C30" s="79">
        <v>6</v>
      </c>
      <c r="D30" s="66">
        <v>32</v>
      </c>
      <c r="E30" s="66">
        <v>1</v>
      </c>
      <c r="F30" s="66"/>
      <c r="G30" s="66"/>
      <c r="H30" s="66"/>
      <c r="I30" s="66"/>
      <c r="J30" s="66"/>
      <c r="K30" s="66"/>
      <c r="L30" s="108">
        <v>27617</v>
      </c>
      <c r="M30" s="108">
        <v>27617</v>
      </c>
      <c r="N30" s="108">
        <v>27617</v>
      </c>
      <c r="O30" s="108">
        <v>29660</v>
      </c>
      <c r="P30" s="108">
        <v>301324</v>
      </c>
      <c r="Q30" s="108">
        <v>301324</v>
      </c>
      <c r="R30" s="108">
        <v>301324</v>
      </c>
      <c r="S30" s="108">
        <v>301324</v>
      </c>
      <c r="T30" s="77">
        <v>3.03</v>
      </c>
      <c r="U30" s="76">
        <f>'Школы-основная'!W30</f>
        <v>1</v>
      </c>
      <c r="V30" s="81">
        <v>0.942</v>
      </c>
      <c r="W30" s="54">
        <f t="shared" si="1"/>
        <v>2522.4</v>
      </c>
      <c r="X30" s="54">
        <f t="shared" si="2"/>
        <v>26</v>
      </c>
      <c r="Y30" s="54">
        <f t="shared" si="3"/>
        <v>0</v>
      </c>
      <c r="Z30" s="54">
        <f t="shared" si="4"/>
        <v>0</v>
      </c>
      <c r="AA30" s="54">
        <f t="shared" si="5"/>
        <v>0</v>
      </c>
      <c r="AB30" s="54">
        <f t="shared" si="6"/>
        <v>0</v>
      </c>
      <c r="AC30" s="54">
        <f t="shared" si="7"/>
        <v>0</v>
      </c>
      <c r="AD30" s="54">
        <f t="shared" si="8"/>
        <v>0</v>
      </c>
      <c r="AE30" s="54">
        <f t="shared" si="0"/>
        <v>2548.4</v>
      </c>
      <c r="AF30" s="68"/>
      <c r="AG30" s="68"/>
    </row>
    <row r="31" spans="1:33" s="41" customFormat="1" ht="15.75">
      <c r="A31" s="46">
        <v>24</v>
      </c>
      <c r="B31" s="36" t="s">
        <v>21</v>
      </c>
      <c r="C31" s="79">
        <v>5</v>
      </c>
      <c r="D31" s="66">
        <v>14</v>
      </c>
      <c r="E31" s="66"/>
      <c r="F31" s="66"/>
      <c r="G31" s="66"/>
      <c r="H31" s="66"/>
      <c r="I31" s="66"/>
      <c r="J31" s="66"/>
      <c r="K31" s="66"/>
      <c r="L31" s="108">
        <v>25813</v>
      </c>
      <c r="M31" s="108">
        <v>25813</v>
      </c>
      <c r="N31" s="108">
        <v>25813</v>
      </c>
      <c r="O31" s="108">
        <v>27652</v>
      </c>
      <c r="P31" s="108">
        <v>301324</v>
      </c>
      <c r="Q31" s="108">
        <v>301324</v>
      </c>
      <c r="R31" s="108">
        <v>301324</v>
      </c>
      <c r="S31" s="108">
        <v>301324</v>
      </c>
      <c r="T31" s="77">
        <v>3.571</v>
      </c>
      <c r="U31" s="76">
        <f>'Школы-основная'!W31</f>
        <v>1</v>
      </c>
      <c r="V31" s="81">
        <v>0.919</v>
      </c>
      <c r="W31" s="54">
        <f t="shared" si="1"/>
        <v>1186</v>
      </c>
      <c r="X31" s="54">
        <f t="shared" si="2"/>
        <v>0</v>
      </c>
      <c r="Y31" s="54">
        <f t="shared" si="3"/>
        <v>0</v>
      </c>
      <c r="Z31" s="54">
        <f t="shared" si="4"/>
        <v>0</v>
      </c>
      <c r="AA31" s="54">
        <f t="shared" si="5"/>
        <v>0</v>
      </c>
      <c r="AB31" s="54">
        <f t="shared" si="6"/>
        <v>0</v>
      </c>
      <c r="AC31" s="54">
        <f t="shared" si="7"/>
        <v>0</v>
      </c>
      <c r="AD31" s="54">
        <f t="shared" si="8"/>
        <v>0</v>
      </c>
      <c r="AE31" s="54">
        <f t="shared" si="0"/>
        <v>1186</v>
      </c>
      <c r="AF31" s="68"/>
      <c r="AG31" s="68"/>
    </row>
    <row r="32" spans="1:33" s="41" customFormat="1" ht="15.75">
      <c r="A32" s="35">
        <v>25</v>
      </c>
      <c r="B32" s="36" t="s">
        <v>22</v>
      </c>
      <c r="C32" s="79">
        <v>6</v>
      </c>
      <c r="D32" s="66">
        <v>13</v>
      </c>
      <c r="E32" s="66"/>
      <c r="F32" s="66"/>
      <c r="G32" s="66"/>
      <c r="H32" s="66"/>
      <c r="I32" s="66"/>
      <c r="J32" s="66"/>
      <c r="K32" s="66"/>
      <c r="L32" s="108">
        <v>27617</v>
      </c>
      <c r="M32" s="108">
        <v>27617</v>
      </c>
      <c r="N32" s="108">
        <v>27617</v>
      </c>
      <c r="O32" s="108">
        <v>29660</v>
      </c>
      <c r="P32" s="108">
        <v>301324</v>
      </c>
      <c r="Q32" s="108">
        <v>301324</v>
      </c>
      <c r="R32" s="108">
        <v>301324</v>
      </c>
      <c r="S32" s="108">
        <v>301324</v>
      </c>
      <c r="T32" s="77">
        <v>3.846</v>
      </c>
      <c r="U32" s="76">
        <f>'Школы-основная'!W32</f>
        <v>1</v>
      </c>
      <c r="V32" s="81">
        <v>0.978</v>
      </c>
      <c r="W32" s="54">
        <f t="shared" si="1"/>
        <v>1350.4</v>
      </c>
      <c r="X32" s="54">
        <f t="shared" si="2"/>
        <v>0</v>
      </c>
      <c r="Y32" s="54">
        <f t="shared" si="3"/>
        <v>0</v>
      </c>
      <c r="Z32" s="54">
        <f t="shared" si="4"/>
        <v>0</v>
      </c>
      <c r="AA32" s="54">
        <f t="shared" si="5"/>
        <v>0</v>
      </c>
      <c r="AB32" s="54">
        <f t="shared" si="6"/>
        <v>0</v>
      </c>
      <c r="AC32" s="54">
        <f t="shared" si="7"/>
        <v>0</v>
      </c>
      <c r="AD32" s="54">
        <f t="shared" si="8"/>
        <v>0</v>
      </c>
      <c r="AE32" s="54">
        <f t="shared" si="0"/>
        <v>1350.4</v>
      </c>
      <c r="AF32" s="68"/>
      <c r="AG32" s="68"/>
    </row>
    <row r="33" spans="1:33" s="41" customFormat="1" ht="18" customHeight="1">
      <c r="A33" s="46">
        <v>26</v>
      </c>
      <c r="B33" s="36" t="s">
        <v>23</v>
      </c>
      <c r="C33" s="79">
        <v>5</v>
      </c>
      <c r="D33" s="66">
        <v>45</v>
      </c>
      <c r="E33" s="66"/>
      <c r="F33" s="66"/>
      <c r="G33" s="66"/>
      <c r="H33" s="66"/>
      <c r="I33" s="66"/>
      <c r="J33" s="66">
        <v>1</v>
      </c>
      <c r="K33" s="66"/>
      <c r="L33" s="108">
        <v>25813</v>
      </c>
      <c r="M33" s="108">
        <v>25813</v>
      </c>
      <c r="N33" s="108">
        <v>25813</v>
      </c>
      <c r="O33" s="108">
        <v>27652</v>
      </c>
      <c r="P33" s="108">
        <v>301324</v>
      </c>
      <c r="Q33" s="108">
        <v>301324</v>
      </c>
      <c r="R33" s="108">
        <v>301324</v>
      </c>
      <c r="S33" s="108">
        <v>301324</v>
      </c>
      <c r="T33" s="77">
        <v>2.222</v>
      </c>
      <c r="U33" s="76">
        <f>'Школы-основная'!W33</f>
        <v>1</v>
      </c>
      <c r="V33" s="81">
        <v>0.766</v>
      </c>
      <c r="W33" s="54">
        <f t="shared" si="1"/>
        <v>1977.1</v>
      </c>
      <c r="X33" s="54">
        <f t="shared" si="2"/>
        <v>0</v>
      </c>
      <c r="Y33" s="54">
        <f t="shared" si="3"/>
        <v>0</v>
      </c>
      <c r="Z33" s="54">
        <f t="shared" si="4"/>
        <v>0</v>
      </c>
      <c r="AA33" s="54">
        <f t="shared" si="5"/>
        <v>0</v>
      </c>
      <c r="AB33" s="54">
        <f t="shared" si="6"/>
        <v>0</v>
      </c>
      <c r="AC33" s="54">
        <f t="shared" si="7"/>
        <v>230.8</v>
      </c>
      <c r="AD33" s="54">
        <f t="shared" si="8"/>
        <v>0</v>
      </c>
      <c r="AE33" s="54">
        <f t="shared" si="0"/>
        <v>2207.9</v>
      </c>
      <c r="AF33" s="68"/>
      <c r="AG33" s="68"/>
    </row>
    <row r="34" spans="1:33" s="41" customFormat="1" ht="24" customHeight="1">
      <c r="A34" s="35">
        <v>27</v>
      </c>
      <c r="B34" s="36" t="s">
        <v>24</v>
      </c>
      <c r="C34" s="79">
        <v>5</v>
      </c>
      <c r="D34" s="66">
        <v>55</v>
      </c>
      <c r="E34" s="66"/>
      <c r="F34" s="66"/>
      <c r="G34" s="66"/>
      <c r="H34" s="66"/>
      <c r="I34" s="66"/>
      <c r="J34" s="66"/>
      <c r="K34" s="66"/>
      <c r="L34" s="108">
        <v>25813</v>
      </c>
      <c r="M34" s="108">
        <v>25813</v>
      </c>
      <c r="N34" s="108">
        <v>25813</v>
      </c>
      <c r="O34" s="108">
        <v>27652</v>
      </c>
      <c r="P34" s="108">
        <v>301324</v>
      </c>
      <c r="Q34" s="108">
        <v>301324</v>
      </c>
      <c r="R34" s="108">
        <v>301324</v>
      </c>
      <c r="S34" s="108">
        <v>301324</v>
      </c>
      <c r="T34" s="77">
        <v>2.632</v>
      </c>
      <c r="U34" s="76">
        <f>'Школы-основная'!W34</f>
        <v>1</v>
      </c>
      <c r="V34" s="81">
        <v>0.863</v>
      </c>
      <c r="W34" s="54">
        <f t="shared" si="1"/>
        <v>3224.8</v>
      </c>
      <c r="X34" s="54">
        <f t="shared" si="2"/>
        <v>0</v>
      </c>
      <c r="Y34" s="54">
        <f t="shared" si="3"/>
        <v>0</v>
      </c>
      <c r="Z34" s="54">
        <f t="shared" si="4"/>
        <v>0</v>
      </c>
      <c r="AA34" s="54">
        <f t="shared" si="5"/>
        <v>0</v>
      </c>
      <c r="AB34" s="54">
        <f t="shared" si="6"/>
        <v>0</v>
      </c>
      <c r="AC34" s="54">
        <f t="shared" si="7"/>
        <v>0</v>
      </c>
      <c r="AD34" s="54">
        <f t="shared" si="8"/>
        <v>0</v>
      </c>
      <c r="AE34" s="54">
        <f t="shared" si="0"/>
        <v>3224.8</v>
      </c>
      <c r="AF34" s="68"/>
      <c r="AG34" s="68"/>
    </row>
    <row r="35" spans="1:33" s="41" customFormat="1" ht="18" customHeight="1">
      <c r="A35" s="46">
        <v>28</v>
      </c>
      <c r="B35" s="36" t="s">
        <v>25</v>
      </c>
      <c r="C35" s="79">
        <v>5</v>
      </c>
      <c r="D35" s="66">
        <v>20</v>
      </c>
      <c r="E35" s="66"/>
      <c r="F35" s="66"/>
      <c r="G35" s="66">
        <v>1</v>
      </c>
      <c r="H35" s="66"/>
      <c r="I35" s="66"/>
      <c r="J35" s="66"/>
      <c r="K35" s="66"/>
      <c r="L35" s="108">
        <v>25813</v>
      </c>
      <c r="M35" s="108">
        <v>25813</v>
      </c>
      <c r="N35" s="108">
        <v>25813</v>
      </c>
      <c r="O35" s="108">
        <v>27652</v>
      </c>
      <c r="P35" s="108">
        <v>301324</v>
      </c>
      <c r="Q35" s="108">
        <v>301324</v>
      </c>
      <c r="R35" s="108">
        <v>301324</v>
      </c>
      <c r="S35" s="108">
        <v>301324</v>
      </c>
      <c r="T35" s="77">
        <v>2.381</v>
      </c>
      <c r="U35" s="76">
        <f>'Школы-основная'!W35</f>
        <v>1</v>
      </c>
      <c r="V35" s="81">
        <v>0.849</v>
      </c>
      <c r="W35" s="54">
        <f t="shared" si="1"/>
        <v>1043.6</v>
      </c>
      <c r="X35" s="54">
        <f t="shared" si="2"/>
        <v>0</v>
      </c>
      <c r="Y35" s="54">
        <f t="shared" si="3"/>
        <v>0</v>
      </c>
      <c r="Z35" s="54">
        <f t="shared" si="4"/>
        <v>23.5</v>
      </c>
      <c r="AA35" s="54">
        <f t="shared" si="5"/>
        <v>0</v>
      </c>
      <c r="AB35" s="54">
        <f t="shared" si="6"/>
        <v>0</v>
      </c>
      <c r="AC35" s="54">
        <f t="shared" si="7"/>
        <v>0</v>
      </c>
      <c r="AD35" s="54">
        <f t="shared" si="8"/>
        <v>0</v>
      </c>
      <c r="AE35" s="54">
        <f t="shared" si="0"/>
        <v>1067.1</v>
      </c>
      <c r="AF35" s="68"/>
      <c r="AG35" s="68"/>
    </row>
    <row r="36" spans="1:33" s="41" customFormat="1" ht="18.75" customHeight="1">
      <c r="A36" s="35">
        <v>29</v>
      </c>
      <c r="B36" s="36" t="s">
        <v>26</v>
      </c>
      <c r="C36" s="79">
        <v>6</v>
      </c>
      <c r="D36" s="66">
        <v>33</v>
      </c>
      <c r="E36" s="66"/>
      <c r="F36" s="66"/>
      <c r="G36" s="66"/>
      <c r="H36" s="66"/>
      <c r="I36" s="66"/>
      <c r="J36" s="66"/>
      <c r="K36" s="66"/>
      <c r="L36" s="108">
        <v>27617</v>
      </c>
      <c r="M36" s="108">
        <v>27617</v>
      </c>
      <c r="N36" s="108">
        <v>27617</v>
      </c>
      <c r="O36" s="108">
        <v>29660</v>
      </c>
      <c r="P36" s="108">
        <v>301324</v>
      </c>
      <c r="Q36" s="108">
        <v>301324</v>
      </c>
      <c r="R36" s="108">
        <v>301324</v>
      </c>
      <c r="S36" s="108">
        <v>301324</v>
      </c>
      <c r="T36" s="77">
        <v>3.03</v>
      </c>
      <c r="U36" s="76">
        <f>'Школы-основная'!W36</f>
        <v>1</v>
      </c>
      <c r="V36" s="81">
        <v>0.96</v>
      </c>
      <c r="W36" s="54">
        <f t="shared" si="1"/>
        <v>2651</v>
      </c>
      <c r="X36" s="54">
        <f t="shared" si="2"/>
        <v>0</v>
      </c>
      <c r="Y36" s="54">
        <f t="shared" si="3"/>
        <v>0</v>
      </c>
      <c r="Z36" s="54">
        <f t="shared" si="4"/>
        <v>0</v>
      </c>
      <c r="AA36" s="54">
        <f t="shared" si="5"/>
        <v>0</v>
      </c>
      <c r="AB36" s="54">
        <f t="shared" si="6"/>
        <v>0</v>
      </c>
      <c r="AC36" s="54">
        <f t="shared" si="7"/>
        <v>0</v>
      </c>
      <c r="AD36" s="54">
        <f t="shared" si="8"/>
        <v>0</v>
      </c>
      <c r="AE36" s="54">
        <f t="shared" si="0"/>
        <v>2651</v>
      </c>
      <c r="AF36" s="68"/>
      <c r="AG36" s="68"/>
    </row>
    <row r="37" spans="1:33" s="41" customFormat="1" ht="32.25" customHeight="1">
      <c r="A37" s="46">
        <v>30</v>
      </c>
      <c r="B37" s="36" t="s">
        <v>27</v>
      </c>
      <c r="C37" s="79">
        <v>6</v>
      </c>
      <c r="D37" s="66">
        <v>20</v>
      </c>
      <c r="E37" s="66"/>
      <c r="F37" s="66"/>
      <c r="G37" s="66"/>
      <c r="H37" s="66"/>
      <c r="I37" s="66"/>
      <c r="J37" s="66"/>
      <c r="K37" s="66"/>
      <c r="L37" s="108">
        <v>27617</v>
      </c>
      <c r="M37" s="108">
        <v>27617</v>
      </c>
      <c r="N37" s="108">
        <v>27617</v>
      </c>
      <c r="O37" s="108">
        <v>29660</v>
      </c>
      <c r="P37" s="108">
        <v>301324</v>
      </c>
      <c r="Q37" s="108">
        <v>301324</v>
      </c>
      <c r="R37" s="108">
        <v>301324</v>
      </c>
      <c r="S37" s="108">
        <v>301324</v>
      </c>
      <c r="T37" s="77">
        <v>2.5</v>
      </c>
      <c r="U37" s="76">
        <f>'Школы-основная'!W37</f>
        <v>1</v>
      </c>
      <c r="V37" s="81">
        <v>0.947</v>
      </c>
      <c r="W37" s="54">
        <f t="shared" si="1"/>
        <v>1307.7</v>
      </c>
      <c r="X37" s="54">
        <f t="shared" si="2"/>
        <v>0</v>
      </c>
      <c r="Y37" s="54">
        <f t="shared" si="3"/>
        <v>0</v>
      </c>
      <c r="Z37" s="54">
        <f t="shared" si="4"/>
        <v>0</v>
      </c>
      <c r="AA37" s="54">
        <f t="shared" si="5"/>
        <v>0</v>
      </c>
      <c r="AB37" s="54">
        <f t="shared" si="6"/>
        <v>0</v>
      </c>
      <c r="AC37" s="54">
        <f t="shared" si="7"/>
        <v>0</v>
      </c>
      <c r="AD37" s="54">
        <f t="shared" si="8"/>
        <v>0</v>
      </c>
      <c r="AE37" s="54">
        <f t="shared" si="0"/>
        <v>1307.7</v>
      </c>
      <c r="AF37" s="68"/>
      <c r="AG37" s="68"/>
    </row>
    <row r="38" spans="1:33" s="41" customFormat="1" ht="31.5">
      <c r="A38" s="35">
        <v>31</v>
      </c>
      <c r="B38" s="36" t="s">
        <v>28</v>
      </c>
      <c r="C38" s="79">
        <v>5</v>
      </c>
      <c r="D38" s="66">
        <v>47</v>
      </c>
      <c r="E38" s="66"/>
      <c r="F38" s="66"/>
      <c r="G38" s="66"/>
      <c r="H38" s="66"/>
      <c r="I38" s="66"/>
      <c r="J38" s="66"/>
      <c r="K38" s="66"/>
      <c r="L38" s="108">
        <v>25813</v>
      </c>
      <c r="M38" s="108">
        <v>25813</v>
      </c>
      <c r="N38" s="108">
        <v>25813</v>
      </c>
      <c r="O38" s="108">
        <v>27652</v>
      </c>
      <c r="P38" s="108">
        <v>301324</v>
      </c>
      <c r="Q38" s="108">
        <v>301324</v>
      </c>
      <c r="R38" s="108">
        <v>301324</v>
      </c>
      <c r="S38" s="108">
        <v>301324</v>
      </c>
      <c r="T38" s="77">
        <v>2.128</v>
      </c>
      <c r="U38" s="76">
        <f>'Школы-основная'!W38</f>
        <v>1.024</v>
      </c>
      <c r="V38" s="81">
        <v>1</v>
      </c>
      <c r="W38" s="54">
        <f t="shared" si="1"/>
        <v>2643.7</v>
      </c>
      <c r="X38" s="54">
        <f t="shared" si="2"/>
        <v>0</v>
      </c>
      <c r="Y38" s="54">
        <f t="shared" si="3"/>
        <v>0</v>
      </c>
      <c r="Z38" s="54">
        <f t="shared" si="4"/>
        <v>0</v>
      </c>
      <c r="AA38" s="54">
        <f t="shared" si="5"/>
        <v>0</v>
      </c>
      <c r="AB38" s="54">
        <f t="shared" si="6"/>
        <v>0</v>
      </c>
      <c r="AC38" s="54">
        <f t="shared" si="7"/>
        <v>0</v>
      </c>
      <c r="AD38" s="54">
        <f t="shared" si="8"/>
        <v>0</v>
      </c>
      <c r="AE38" s="54">
        <f t="shared" si="0"/>
        <v>2643.7</v>
      </c>
      <c r="AF38" s="68"/>
      <c r="AG38" s="68"/>
    </row>
    <row r="39" spans="1:33" s="41" customFormat="1" ht="15.75">
      <c r="A39" s="46">
        <v>32</v>
      </c>
      <c r="B39" s="36" t="s">
        <v>29</v>
      </c>
      <c r="C39" s="79">
        <v>5</v>
      </c>
      <c r="D39" s="66">
        <v>33</v>
      </c>
      <c r="E39" s="66"/>
      <c r="F39" s="66"/>
      <c r="G39" s="66">
        <v>1</v>
      </c>
      <c r="H39" s="66"/>
      <c r="I39" s="66"/>
      <c r="J39" s="66">
        <v>2</v>
      </c>
      <c r="K39" s="66"/>
      <c r="L39" s="108">
        <v>25813</v>
      </c>
      <c r="M39" s="108">
        <v>25813</v>
      </c>
      <c r="N39" s="108">
        <v>25813</v>
      </c>
      <c r="O39" s="108">
        <v>27652</v>
      </c>
      <c r="P39" s="108">
        <v>301324</v>
      </c>
      <c r="Q39" s="108">
        <v>301324</v>
      </c>
      <c r="R39" s="108">
        <v>301324</v>
      </c>
      <c r="S39" s="108">
        <v>301324</v>
      </c>
      <c r="T39" s="77">
        <v>2.941</v>
      </c>
      <c r="U39" s="76">
        <f>'Школы-основная'!W39</f>
        <v>1</v>
      </c>
      <c r="V39" s="81">
        <v>0.785</v>
      </c>
      <c r="W39" s="54">
        <f t="shared" si="1"/>
        <v>1966.6</v>
      </c>
      <c r="X39" s="54">
        <f t="shared" si="2"/>
        <v>0</v>
      </c>
      <c r="Y39" s="54">
        <f t="shared" si="3"/>
        <v>0</v>
      </c>
      <c r="Z39" s="54">
        <f t="shared" si="4"/>
        <v>21.7</v>
      </c>
      <c r="AA39" s="54">
        <f t="shared" si="5"/>
        <v>0</v>
      </c>
      <c r="AB39" s="54">
        <f t="shared" si="6"/>
        <v>0</v>
      </c>
      <c r="AC39" s="54">
        <f t="shared" si="7"/>
        <v>473.1</v>
      </c>
      <c r="AD39" s="54">
        <f t="shared" si="8"/>
        <v>0</v>
      </c>
      <c r="AE39" s="54">
        <f t="shared" si="0"/>
        <v>2461.4</v>
      </c>
      <c r="AF39" s="68"/>
      <c r="AG39" s="68"/>
    </row>
    <row r="40" spans="1:33" s="41" customFormat="1" ht="31.5">
      <c r="A40" s="35">
        <v>33</v>
      </c>
      <c r="B40" s="36" t="s">
        <v>30</v>
      </c>
      <c r="C40" s="79">
        <v>6</v>
      </c>
      <c r="D40" s="66">
        <v>16</v>
      </c>
      <c r="E40" s="66"/>
      <c r="F40" s="66"/>
      <c r="G40" s="66"/>
      <c r="H40" s="66"/>
      <c r="I40" s="66"/>
      <c r="J40" s="66">
        <v>1</v>
      </c>
      <c r="K40" s="66"/>
      <c r="L40" s="108">
        <v>27617</v>
      </c>
      <c r="M40" s="108">
        <v>27617</v>
      </c>
      <c r="N40" s="108">
        <v>27617</v>
      </c>
      <c r="O40" s="108">
        <v>29660</v>
      </c>
      <c r="P40" s="108">
        <v>301324</v>
      </c>
      <c r="Q40" s="108">
        <v>301324</v>
      </c>
      <c r="R40" s="108">
        <v>301324</v>
      </c>
      <c r="S40" s="108">
        <v>301324</v>
      </c>
      <c r="T40" s="77">
        <v>3.125</v>
      </c>
      <c r="U40" s="76">
        <f>'Школы-основная'!W40</f>
        <v>1</v>
      </c>
      <c r="V40" s="81">
        <v>0.683</v>
      </c>
      <c r="W40" s="54">
        <f t="shared" si="1"/>
        <v>943.1</v>
      </c>
      <c r="X40" s="54">
        <f t="shared" si="2"/>
        <v>0</v>
      </c>
      <c r="Y40" s="54">
        <f t="shared" si="3"/>
        <v>0</v>
      </c>
      <c r="Z40" s="54">
        <f t="shared" si="4"/>
        <v>0</v>
      </c>
      <c r="AA40" s="54">
        <f t="shared" si="5"/>
        <v>0</v>
      </c>
      <c r="AB40" s="54">
        <f t="shared" si="6"/>
        <v>0</v>
      </c>
      <c r="AC40" s="54">
        <f t="shared" si="7"/>
        <v>205.8</v>
      </c>
      <c r="AD40" s="54">
        <f t="shared" si="8"/>
        <v>0</v>
      </c>
      <c r="AE40" s="54">
        <f t="shared" si="0"/>
        <v>1148.9</v>
      </c>
      <c r="AF40" s="68"/>
      <c r="AG40" s="68"/>
    </row>
    <row r="41" spans="1:33" s="41" customFormat="1" ht="18.75" customHeight="1">
      <c r="A41" s="46">
        <v>34</v>
      </c>
      <c r="B41" s="36" t="s">
        <v>31</v>
      </c>
      <c r="C41" s="79">
        <v>5</v>
      </c>
      <c r="D41" s="66">
        <v>84</v>
      </c>
      <c r="E41" s="66"/>
      <c r="F41" s="66"/>
      <c r="G41" s="66">
        <v>5</v>
      </c>
      <c r="H41" s="66"/>
      <c r="I41" s="66"/>
      <c r="J41" s="66"/>
      <c r="K41" s="66">
        <v>2</v>
      </c>
      <c r="L41" s="108">
        <v>25813</v>
      </c>
      <c r="M41" s="108">
        <v>25813</v>
      </c>
      <c r="N41" s="108">
        <v>25813</v>
      </c>
      <c r="O41" s="108">
        <v>27652</v>
      </c>
      <c r="P41" s="108">
        <v>301324</v>
      </c>
      <c r="Q41" s="108">
        <v>301324</v>
      </c>
      <c r="R41" s="108">
        <v>301324</v>
      </c>
      <c r="S41" s="108">
        <v>301324</v>
      </c>
      <c r="T41" s="77">
        <v>1.404</v>
      </c>
      <c r="U41" s="76">
        <f>'Школы-основная'!W41</f>
        <v>1.024</v>
      </c>
      <c r="V41" s="81">
        <v>1</v>
      </c>
      <c r="W41" s="54">
        <f t="shared" si="1"/>
        <v>3117.3</v>
      </c>
      <c r="X41" s="54">
        <f t="shared" si="2"/>
        <v>0</v>
      </c>
      <c r="Y41" s="54">
        <f t="shared" si="3"/>
        <v>0</v>
      </c>
      <c r="Z41" s="54">
        <f t="shared" si="4"/>
        <v>141.6</v>
      </c>
      <c r="AA41" s="54">
        <f t="shared" si="5"/>
        <v>0</v>
      </c>
      <c r="AB41" s="54">
        <f t="shared" si="6"/>
        <v>0</v>
      </c>
      <c r="AC41" s="54">
        <f t="shared" si="7"/>
        <v>0</v>
      </c>
      <c r="AD41" s="54">
        <f t="shared" si="8"/>
        <v>617.1</v>
      </c>
      <c r="AE41" s="54">
        <f t="shared" si="0"/>
        <v>3876</v>
      </c>
      <c r="AF41" s="68"/>
      <c r="AG41" s="68"/>
    </row>
    <row r="42" spans="1:33" s="41" customFormat="1" ht="36.75" customHeight="1">
      <c r="A42" s="35">
        <v>35</v>
      </c>
      <c r="B42" s="36" t="s">
        <v>32</v>
      </c>
      <c r="C42" s="79">
        <v>5</v>
      </c>
      <c r="D42" s="66">
        <v>112</v>
      </c>
      <c r="E42" s="66"/>
      <c r="F42" s="66"/>
      <c r="G42" s="66">
        <v>2</v>
      </c>
      <c r="H42" s="66"/>
      <c r="I42" s="66"/>
      <c r="J42" s="66"/>
      <c r="K42" s="66"/>
      <c r="L42" s="108">
        <v>25813</v>
      </c>
      <c r="M42" s="108">
        <v>25813</v>
      </c>
      <c r="N42" s="108">
        <v>25813</v>
      </c>
      <c r="O42" s="108">
        <v>27652</v>
      </c>
      <c r="P42" s="108">
        <v>301324</v>
      </c>
      <c r="Q42" s="108">
        <v>301324</v>
      </c>
      <c r="R42" s="108">
        <v>301324</v>
      </c>
      <c r="S42" s="108">
        <v>301324</v>
      </c>
      <c r="T42" s="77">
        <v>1.535</v>
      </c>
      <c r="U42" s="76">
        <f>'Школы-основная'!W42</f>
        <v>1.164</v>
      </c>
      <c r="V42" s="81">
        <v>1</v>
      </c>
      <c r="W42" s="54">
        <f t="shared" si="1"/>
        <v>5165.6</v>
      </c>
      <c r="X42" s="54">
        <f t="shared" si="2"/>
        <v>0</v>
      </c>
      <c r="Y42" s="54">
        <f t="shared" si="3"/>
        <v>0</v>
      </c>
      <c r="Z42" s="54">
        <f t="shared" si="4"/>
        <v>64.4</v>
      </c>
      <c r="AA42" s="54">
        <f t="shared" si="5"/>
        <v>0</v>
      </c>
      <c r="AB42" s="54">
        <f t="shared" si="6"/>
        <v>0</v>
      </c>
      <c r="AC42" s="54">
        <f t="shared" si="7"/>
        <v>0</v>
      </c>
      <c r="AD42" s="54">
        <f t="shared" si="8"/>
        <v>0</v>
      </c>
      <c r="AE42" s="54">
        <f t="shared" si="0"/>
        <v>5230</v>
      </c>
      <c r="AF42" s="68"/>
      <c r="AG42" s="68"/>
    </row>
    <row r="43" spans="1:33" s="41" customFormat="1" ht="29.25" customHeight="1">
      <c r="A43" s="46">
        <v>36</v>
      </c>
      <c r="B43" s="36" t="s">
        <v>33</v>
      </c>
      <c r="C43" s="79">
        <v>5</v>
      </c>
      <c r="D43" s="66">
        <v>75</v>
      </c>
      <c r="E43" s="66">
        <v>2</v>
      </c>
      <c r="F43" s="66"/>
      <c r="G43" s="66">
        <v>1</v>
      </c>
      <c r="H43" s="66"/>
      <c r="I43" s="66"/>
      <c r="J43" s="66">
        <v>1</v>
      </c>
      <c r="K43" s="66"/>
      <c r="L43" s="108">
        <v>25813</v>
      </c>
      <c r="M43" s="108">
        <v>25813</v>
      </c>
      <c r="N43" s="108">
        <v>25813</v>
      </c>
      <c r="O43" s="108">
        <v>27652</v>
      </c>
      <c r="P43" s="108">
        <v>301324</v>
      </c>
      <c r="Q43" s="108">
        <v>301324</v>
      </c>
      <c r="R43" s="108">
        <v>301324</v>
      </c>
      <c r="S43" s="108">
        <v>301324</v>
      </c>
      <c r="T43" s="77">
        <v>1.282</v>
      </c>
      <c r="U43" s="76">
        <f>'Школы-основная'!W43</f>
        <v>1</v>
      </c>
      <c r="V43" s="81">
        <v>0.956</v>
      </c>
      <c r="W43" s="54">
        <f t="shared" si="1"/>
        <v>2372.7</v>
      </c>
      <c r="X43" s="54">
        <f t="shared" si="2"/>
        <v>49.4</v>
      </c>
      <c r="Y43" s="54">
        <f t="shared" si="3"/>
        <v>0</v>
      </c>
      <c r="Z43" s="54">
        <f t="shared" si="4"/>
        <v>26.4</v>
      </c>
      <c r="AA43" s="54">
        <f t="shared" si="5"/>
        <v>0</v>
      </c>
      <c r="AB43" s="54">
        <f t="shared" si="6"/>
        <v>0</v>
      </c>
      <c r="AC43" s="54">
        <f t="shared" si="7"/>
        <v>288.1</v>
      </c>
      <c r="AD43" s="54">
        <f t="shared" si="8"/>
        <v>0</v>
      </c>
      <c r="AE43" s="54">
        <f t="shared" si="0"/>
        <v>2736.6</v>
      </c>
      <c r="AF43" s="68"/>
      <c r="AG43" s="68"/>
    </row>
    <row r="44" spans="1:33" s="41" customFormat="1" ht="29.25" customHeight="1">
      <c r="A44" s="35">
        <v>37</v>
      </c>
      <c r="B44" s="36" t="s">
        <v>34</v>
      </c>
      <c r="C44" s="79">
        <v>6</v>
      </c>
      <c r="D44" s="66">
        <v>34</v>
      </c>
      <c r="E44" s="66"/>
      <c r="F44" s="66"/>
      <c r="G44" s="66">
        <v>5</v>
      </c>
      <c r="H44" s="66"/>
      <c r="I44" s="66"/>
      <c r="J44" s="66"/>
      <c r="K44" s="66"/>
      <c r="L44" s="108">
        <v>27617</v>
      </c>
      <c r="M44" s="108">
        <v>27617</v>
      </c>
      <c r="N44" s="108">
        <v>27617</v>
      </c>
      <c r="O44" s="108">
        <v>29660</v>
      </c>
      <c r="P44" s="108">
        <v>301324</v>
      </c>
      <c r="Q44" s="108">
        <v>301324</v>
      </c>
      <c r="R44" s="108">
        <v>301324</v>
      </c>
      <c r="S44" s="108">
        <v>301324</v>
      </c>
      <c r="T44" s="77">
        <v>2.564</v>
      </c>
      <c r="U44" s="76">
        <f>'Школы-основная'!W44</f>
        <v>1</v>
      </c>
      <c r="V44" s="81">
        <v>0.864</v>
      </c>
      <c r="W44" s="54">
        <f t="shared" si="1"/>
        <v>2080.1</v>
      </c>
      <c r="X44" s="54">
        <f t="shared" si="2"/>
        <v>0</v>
      </c>
      <c r="Y44" s="54">
        <f t="shared" si="3"/>
        <v>0</v>
      </c>
      <c r="Z44" s="54">
        <f t="shared" si="4"/>
        <v>128.1</v>
      </c>
      <c r="AA44" s="54">
        <f t="shared" si="5"/>
        <v>0</v>
      </c>
      <c r="AB44" s="54">
        <f t="shared" si="6"/>
        <v>0</v>
      </c>
      <c r="AC44" s="54">
        <f t="shared" si="7"/>
        <v>0</v>
      </c>
      <c r="AD44" s="54">
        <f t="shared" si="8"/>
        <v>0</v>
      </c>
      <c r="AE44" s="54">
        <f t="shared" si="0"/>
        <v>2208.2</v>
      </c>
      <c r="AF44" s="68"/>
      <c r="AG44" s="68"/>
    </row>
    <row r="45" spans="1:33" s="41" customFormat="1" ht="31.5">
      <c r="A45" s="46">
        <v>38</v>
      </c>
      <c r="B45" s="36" t="s">
        <v>35</v>
      </c>
      <c r="C45" s="79">
        <v>5</v>
      </c>
      <c r="D45" s="111">
        <v>22</v>
      </c>
      <c r="E45" s="66"/>
      <c r="F45" s="66"/>
      <c r="G45" s="66"/>
      <c r="H45" s="66"/>
      <c r="I45" s="66"/>
      <c r="J45" s="66"/>
      <c r="K45" s="66"/>
      <c r="L45" s="108">
        <v>25813</v>
      </c>
      <c r="M45" s="108">
        <v>25813</v>
      </c>
      <c r="N45" s="108">
        <v>25813</v>
      </c>
      <c r="O45" s="108">
        <v>27652</v>
      </c>
      <c r="P45" s="108">
        <v>301324</v>
      </c>
      <c r="Q45" s="108">
        <v>301324</v>
      </c>
      <c r="R45" s="108">
        <v>301324</v>
      </c>
      <c r="S45" s="108">
        <v>301324</v>
      </c>
      <c r="T45" s="77">
        <v>2.273</v>
      </c>
      <c r="U45" s="76">
        <f>'Школы-основная'!W45</f>
        <v>1</v>
      </c>
      <c r="V45" s="81">
        <v>0.993</v>
      </c>
      <c r="W45" s="54">
        <f t="shared" si="1"/>
        <v>1281.8</v>
      </c>
      <c r="X45" s="54">
        <f t="shared" si="2"/>
        <v>0</v>
      </c>
      <c r="Y45" s="54">
        <f t="shared" si="3"/>
        <v>0</v>
      </c>
      <c r="Z45" s="54">
        <f t="shared" si="4"/>
        <v>0</v>
      </c>
      <c r="AA45" s="54">
        <f t="shared" si="5"/>
        <v>0</v>
      </c>
      <c r="AB45" s="54">
        <f t="shared" si="6"/>
        <v>0</v>
      </c>
      <c r="AC45" s="54">
        <f t="shared" si="7"/>
        <v>0</v>
      </c>
      <c r="AD45" s="54">
        <f t="shared" si="8"/>
        <v>0</v>
      </c>
      <c r="AE45" s="54">
        <f t="shared" si="0"/>
        <v>1281.8</v>
      </c>
      <c r="AF45" s="68"/>
      <c r="AG45" s="68"/>
    </row>
    <row r="46" spans="1:33" s="41" customFormat="1" ht="32.25" thickBot="1">
      <c r="A46" s="35">
        <v>39</v>
      </c>
      <c r="B46" s="49" t="s">
        <v>36</v>
      </c>
      <c r="C46" s="79">
        <v>5</v>
      </c>
      <c r="D46" s="112">
        <v>31</v>
      </c>
      <c r="E46" s="66"/>
      <c r="F46" s="66"/>
      <c r="G46" s="66"/>
      <c r="H46" s="66"/>
      <c r="I46" s="66"/>
      <c r="J46" s="66"/>
      <c r="K46" s="66"/>
      <c r="L46" s="108">
        <v>25813</v>
      </c>
      <c r="M46" s="108">
        <v>25813</v>
      </c>
      <c r="N46" s="108">
        <v>25813</v>
      </c>
      <c r="O46" s="108">
        <v>27652</v>
      </c>
      <c r="P46" s="108">
        <v>301324</v>
      </c>
      <c r="Q46" s="108">
        <v>301324</v>
      </c>
      <c r="R46" s="108">
        <v>301324</v>
      </c>
      <c r="S46" s="108">
        <v>301324</v>
      </c>
      <c r="T46" s="77">
        <v>2.419</v>
      </c>
      <c r="U46" s="76">
        <f>'Школы-основная'!W46</f>
        <v>1</v>
      </c>
      <c r="V46" s="81">
        <v>0.881</v>
      </c>
      <c r="W46" s="54">
        <f t="shared" si="1"/>
        <v>1705.3</v>
      </c>
      <c r="X46" s="54">
        <f t="shared" si="2"/>
        <v>0</v>
      </c>
      <c r="Y46" s="54">
        <f t="shared" si="3"/>
        <v>0</v>
      </c>
      <c r="Z46" s="54">
        <f t="shared" si="4"/>
        <v>0</v>
      </c>
      <c r="AA46" s="54">
        <f t="shared" si="5"/>
        <v>0</v>
      </c>
      <c r="AB46" s="54">
        <f t="shared" si="6"/>
        <v>0</v>
      </c>
      <c r="AC46" s="54">
        <f t="shared" si="7"/>
        <v>0</v>
      </c>
      <c r="AD46" s="54">
        <f t="shared" si="8"/>
        <v>0</v>
      </c>
      <c r="AE46" s="54">
        <f t="shared" si="0"/>
        <v>1705.3</v>
      </c>
      <c r="AF46" s="68"/>
      <c r="AG46" s="68"/>
    </row>
    <row r="47" spans="1:33" s="41" customFormat="1" ht="51.75" customHeight="1" thickBot="1">
      <c r="A47" s="50"/>
      <c r="B47" s="80" t="s">
        <v>77</v>
      </c>
      <c r="C47" s="51"/>
      <c r="D47" s="52">
        <f>SUM(D8:D46)</f>
        <v>4127</v>
      </c>
      <c r="E47" s="52">
        <f aca="true" t="shared" si="9" ref="E47:K47">SUM(E8:E46)</f>
        <v>19</v>
      </c>
      <c r="F47" s="52">
        <f>SUM(F8:F46)</f>
        <v>10</v>
      </c>
      <c r="G47" s="52">
        <f>SUM(G8:G46)</f>
        <v>55</v>
      </c>
      <c r="H47" s="52">
        <f t="shared" si="9"/>
        <v>10</v>
      </c>
      <c r="I47" s="52">
        <f t="shared" si="9"/>
        <v>1</v>
      </c>
      <c r="J47" s="52">
        <f t="shared" si="9"/>
        <v>30</v>
      </c>
      <c r="K47" s="52">
        <f t="shared" si="9"/>
        <v>18</v>
      </c>
      <c r="L47" s="52"/>
      <c r="M47" s="52"/>
      <c r="N47" s="52"/>
      <c r="O47" s="52"/>
      <c r="P47" s="52"/>
      <c r="Q47" s="52"/>
      <c r="R47" s="52"/>
      <c r="S47" s="53"/>
      <c r="T47" s="75"/>
      <c r="U47" s="75"/>
      <c r="V47" s="75"/>
      <c r="W47" s="54">
        <f>SUM(W8:W46)</f>
        <v>131351.7</v>
      </c>
      <c r="X47" s="54">
        <f aca="true" t="shared" si="10" ref="X47:AE47">SUM(X8:X46)</f>
        <v>473.8999999999999</v>
      </c>
      <c r="Y47" s="54">
        <f t="shared" si="10"/>
        <v>225.9</v>
      </c>
      <c r="Z47" s="54">
        <f t="shared" si="10"/>
        <v>1384.5</v>
      </c>
      <c r="AA47" s="54">
        <f t="shared" si="10"/>
        <v>2625.4</v>
      </c>
      <c r="AB47" s="54">
        <f t="shared" si="10"/>
        <v>226.5</v>
      </c>
      <c r="AC47" s="54">
        <f t="shared" si="10"/>
        <v>8157.000000000002</v>
      </c>
      <c r="AD47" s="54">
        <f t="shared" si="10"/>
        <v>4918.8</v>
      </c>
      <c r="AE47" s="54">
        <f t="shared" si="10"/>
        <v>149363.69999999998</v>
      </c>
      <c r="AF47" s="68"/>
      <c r="AG47" s="68"/>
    </row>
    <row r="48" spans="1:33" s="6" customFormat="1" ht="18" customHeight="1">
      <c r="A48" s="9"/>
      <c r="B48" s="10"/>
      <c r="C48" s="10"/>
      <c r="D48" s="24">
        <f>SUM(D47:K47)</f>
        <v>4270</v>
      </c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AE48" s="55">
        <f>SUM(W47:AD47)</f>
        <v>149363.69999999998</v>
      </c>
      <c r="AF48" s="67"/>
      <c r="AG48" s="67"/>
    </row>
    <row r="49" spans="1:33" s="6" customFormat="1" ht="15.7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AF49" s="67"/>
      <c r="AG49" s="67"/>
    </row>
    <row r="50" spans="1:33" s="6" customFormat="1" ht="15.75">
      <c r="A50" s="12"/>
      <c r="B50" s="13"/>
      <c r="C50" s="13"/>
      <c r="D50" s="14">
        <f>D48+'Школы-основная'!D48+'Школы-средняя'!D48</f>
        <v>9386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AE50" s="55">
        <v>149462.2</v>
      </c>
      <c r="AF50" s="67"/>
      <c r="AG50" s="67"/>
    </row>
    <row r="51" spans="1:33" s="6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AF51" s="67"/>
      <c r="AG51" s="67"/>
    </row>
    <row r="52" spans="1:33" s="6" customFormat="1" ht="15.7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AF52" s="67"/>
      <c r="AG52" s="67"/>
    </row>
    <row r="53" spans="1:33" s="6" customFormat="1" ht="15.75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AF53" s="67"/>
      <c r="AG53" s="67"/>
    </row>
    <row r="54" spans="1:33" s="6" customFormat="1" ht="15.75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AF54" s="67"/>
      <c r="AG54" s="67"/>
    </row>
    <row r="55" spans="1:33" s="6" customFormat="1" ht="16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AF55" s="67"/>
      <c r="AG55" s="67"/>
    </row>
    <row r="56" spans="1:33" s="6" customFormat="1" ht="15.7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AF56" s="67"/>
      <c r="AG56" s="67"/>
    </row>
    <row r="57" spans="1:33" s="6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AF57" s="67"/>
      <c r="AG57" s="67"/>
    </row>
    <row r="58" spans="1:33" s="6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AF58" s="67"/>
      <c r="AG58" s="67"/>
    </row>
    <row r="59" spans="1:33" s="6" customFormat="1" ht="15.7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AF59" s="67"/>
      <c r="AG59" s="67"/>
    </row>
    <row r="60" spans="1:33" s="6" customFormat="1" ht="15.7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AF60" s="67"/>
      <c r="AG60" s="67"/>
    </row>
    <row r="61" spans="1:33" s="6" customFormat="1" ht="15.75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AF61" s="67"/>
      <c r="AG61" s="67"/>
    </row>
    <row r="62" spans="1:33" s="18" customFormat="1" ht="16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AF62" s="69"/>
      <c r="AG62" s="69"/>
    </row>
    <row r="63" spans="1:22" ht="15.75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.75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8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5.75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5.75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.75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5.7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5.7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5.7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5.7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5.7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5.75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.7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5.7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5.75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.7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5.7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5.7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.7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.7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5.7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5.7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5.75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5.7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5.7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.75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5.7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.7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ht="18.75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.75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</sheetData>
  <sheetProtection/>
  <mergeCells count="18">
    <mergeCell ref="AF5:AF7"/>
    <mergeCell ref="B6:B7"/>
    <mergeCell ref="B3:B5"/>
    <mergeCell ref="A62:K62"/>
    <mergeCell ref="L5:S5"/>
    <mergeCell ref="AE5:AE7"/>
    <mergeCell ref="W5:AD5"/>
    <mergeCell ref="AF4:AG4"/>
    <mergeCell ref="AG5:AG7"/>
    <mergeCell ref="A3:A7"/>
    <mergeCell ref="C3:C7"/>
    <mergeCell ref="T3:T7"/>
    <mergeCell ref="V3:V7"/>
    <mergeCell ref="W3:AE4"/>
    <mergeCell ref="D3:K3"/>
    <mergeCell ref="L3:S4"/>
    <mergeCell ref="U3:U7"/>
    <mergeCell ref="D4:K4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7" max="255" man="1"/>
  </rowBreaks>
  <colBreaks count="1" manualBreakCount="1">
    <brk id="1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view="pageBreakPreview" zoomScale="71" zoomScaleNormal="74" zoomScaleSheetLayoutView="71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3" sqref="A3:IV7"/>
    </sheetView>
  </sheetViews>
  <sheetFormatPr defaultColWidth="9.140625" defaultRowHeight="12.75"/>
  <cols>
    <col min="1" max="1" width="9.00390625" style="4" customWidth="1"/>
    <col min="2" max="2" width="24.00390625" style="4" customWidth="1"/>
    <col min="3" max="3" width="11.140625" style="4" customWidth="1"/>
    <col min="4" max="4" width="18.421875" style="5" customWidth="1"/>
    <col min="5" max="5" width="17.28125" style="5" customWidth="1"/>
    <col min="6" max="6" width="15.421875" style="5" customWidth="1"/>
    <col min="7" max="7" width="17.00390625" style="5" customWidth="1"/>
    <col min="8" max="8" width="16.28125" style="5" customWidth="1"/>
    <col min="9" max="9" width="15.00390625" style="5" customWidth="1"/>
    <col min="10" max="10" width="16.7109375" style="5" customWidth="1"/>
    <col min="11" max="11" width="15.7109375" style="5" customWidth="1"/>
    <col min="12" max="12" width="15.421875" style="5" customWidth="1"/>
    <col min="13" max="24" width="29.7109375" style="5" customWidth="1"/>
    <col min="25" max="25" width="15.140625" style="19" customWidth="1"/>
    <col min="26" max="26" width="15.8515625" style="19" customWidth="1"/>
    <col min="27" max="27" width="14.28125" style="19" customWidth="1"/>
    <col min="28" max="28" width="13.57421875" style="19" customWidth="1"/>
    <col min="29" max="29" width="12.140625" style="19" customWidth="1"/>
    <col min="30" max="30" width="15.7109375" style="19" customWidth="1"/>
    <col min="31" max="31" width="15.140625" style="19" customWidth="1"/>
    <col min="32" max="32" width="13.57421875" style="19" customWidth="1"/>
    <col min="33" max="33" width="13.7109375" style="19" customWidth="1"/>
    <col min="34" max="34" width="20.140625" style="19" customWidth="1"/>
    <col min="35" max="35" width="15.57421875" style="70" customWidth="1"/>
    <col min="36" max="36" width="18.8515625" style="70" customWidth="1"/>
    <col min="37" max="16384" width="9.140625" style="19" customWidth="1"/>
  </cols>
  <sheetData>
    <row r="1" spans="1:36" s="6" customFormat="1" ht="18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 t="s">
        <v>89</v>
      </c>
      <c r="Q1" s="104"/>
      <c r="R1" s="104"/>
      <c r="S1" s="104"/>
      <c r="T1" s="104"/>
      <c r="U1" s="104"/>
      <c r="V1" s="96"/>
      <c r="W1" s="96"/>
      <c r="X1" s="96"/>
      <c r="AI1" s="67"/>
      <c r="AJ1" s="67"/>
    </row>
    <row r="2" spans="1:36" s="6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I2" s="67"/>
      <c r="AJ2" s="67"/>
    </row>
    <row r="3" spans="1:36" s="83" customFormat="1" ht="25.5" customHeight="1">
      <c r="A3" s="156" t="s">
        <v>81</v>
      </c>
      <c r="B3" s="137" t="s">
        <v>74</v>
      </c>
      <c r="C3" s="137" t="s">
        <v>75</v>
      </c>
      <c r="D3" s="141" t="s">
        <v>76</v>
      </c>
      <c r="E3" s="141"/>
      <c r="F3" s="141"/>
      <c r="G3" s="141"/>
      <c r="H3" s="141"/>
      <c r="I3" s="141"/>
      <c r="J3" s="141"/>
      <c r="K3" s="141"/>
      <c r="L3" s="141"/>
      <c r="M3" s="143" t="s">
        <v>70</v>
      </c>
      <c r="N3" s="143"/>
      <c r="O3" s="143"/>
      <c r="P3" s="143"/>
      <c r="Q3" s="143"/>
      <c r="R3" s="143"/>
      <c r="S3" s="143"/>
      <c r="T3" s="143"/>
      <c r="U3" s="144"/>
      <c r="V3" s="140" t="s">
        <v>78</v>
      </c>
      <c r="W3" s="140" t="s">
        <v>88</v>
      </c>
      <c r="X3" s="140" t="s">
        <v>79</v>
      </c>
      <c r="Y3" s="140" t="s">
        <v>82</v>
      </c>
      <c r="Z3" s="140"/>
      <c r="AA3" s="140"/>
      <c r="AB3" s="140"/>
      <c r="AC3" s="140"/>
      <c r="AD3" s="140"/>
      <c r="AE3" s="140"/>
      <c r="AF3" s="140"/>
      <c r="AG3" s="140"/>
      <c r="AH3" s="140"/>
      <c r="AI3" s="82"/>
      <c r="AJ3" s="82"/>
    </row>
    <row r="4" spans="1:36" s="83" customFormat="1" ht="36" customHeight="1">
      <c r="A4" s="157"/>
      <c r="B4" s="138"/>
      <c r="C4" s="138"/>
      <c r="D4" s="148" t="s">
        <v>39</v>
      </c>
      <c r="E4" s="149"/>
      <c r="F4" s="149"/>
      <c r="G4" s="149"/>
      <c r="H4" s="149"/>
      <c r="I4" s="149"/>
      <c r="J4" s="149"/>
      <c r="K4" s="149"/>
      <c r="L4" s="150"/>
      <c r="M4" s="146"/>
      <c r="N4" s="146"/>
      <c r="O4" s="146"/>
      <c r="P4" s="146"/>
      <c r="Q4" s="146"/>
      <c r="R4" s="146"/>
      <c r="S4" s="146"/>
      <c r="T4" s="146"/>
      <c r="U4" s="147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51"/>
      <c r="AJ4" s="151"/>
    </row>
    <row r="5" spans="1:36" s="83" customFormat="1" ht="75" customHeight="1">
      <c r="A5" s="157"/>
      <c r="B5" s="138"/>
      <c r="C5" s="138"/>
      <c r="D5" s="100" t="s">
        <v>53</v>
      </c>
      <c r="E5" s="100" t="s">
        <v>53</v>
      </c>
      <c r="F5" s="100" t="s">
        <v>53</v>
      </c>
      <c r="G5" s="100" t="s">
        <v>41</v>
      </c>
      <c r="H5" s="100" t="s">
        <v>41</v>
      </c>
      <c r="I5" s="100" t="s">
        <v>53</v>
      </c>
      <c r="J5" s="100" t="s">
        <v>53</v>
      </c>
      <c r="K5" s="100" t="s">
        <v>41</v>
      </c>
      <c r="L5" s="100" t="s">
        <v>41</v>
      </c>
      <c r="M5" s="148" t="s">
        <v>39</v>
      </c>
      <c r="N5" s="149"/>
      <c r="O5" s="149"/>
      <c r="P5" s="149"/>
      <c r="Q5" s="149"/>
      <c r="R5" s="149"/>
      <c r="S5" s="149"/>
      <c r="T5" s="149"/>
      <c r="U5" s="150"/>
      <c r="V5" s="140"/>
      <c r="W5" s="140"/>
      <c r="X5" s="140"/>
      <c r="Y5" s="141" t="s">
        <v>39</v>
      </c>
      <c r="Z5" s="141"/>
      <c r="AA5" s="141"/>
      <c r="AB5" s="141"/>
      <c r="AC5" s="141"/>
      <c r="AD5" s="141"/>
      <c r="AE5" s="141"/>
      <c r="AF5" s="141"/>
      <c r="AG5" s="141"/>
      <c r="AH5" s="152" t="s">
        <v>62</v>
      </c>
      <c r="AI5" s="151"/>
      <c r="AJ5" s="151"/>
    </row>
    <row r="6" spans="1:36" s="83" customFormat="1" ht="83.25" customHeight="1">
      <c r="A6" s="157"/>
      <c r="B6" s="152" t="s">
        <v>73</v>
      </c>
      <c r="C6" s="138"/>
      <c r="D6" s="100" t="s">
        <v>43</v>
      </c>
      <c r="E6" s="100" t="s">
        <v>42</v>
      </c>
      <c r="F6" s="100" t="s">
        <v>44</v>
      </c>
      <c r="G6" s="100" t="s">
        <v>42</v>
      </c>
      <c r="H6" s="100" t="s">
        <v>44</v>
      </c>
      <c r="I6" s="100" t="s">
        <v>58</v>
      </c>
      <c r="J6" s="100" t="s">
        <v>56</v>
      </c>
      <c r="K6" s="100" t="s">
        <v>58</v>
      </c>
      <c r="L6" s="100" t="s">
        <v>56</v>
      </c>
      <c r="M6" s="100" t="s">
        <v>53</v>
      </c>
      <c r="N6" s="100" t="s">
        <v>53</v>
      </c>
      <c r="O6" s="100" t="s">
        <v>53</v>
      </c>
      <c r="P6" s="100" t="s">
        <v>41</v>
      </c>
      <c r="Q6" s="100" t="s">
        <v>41</v>
      </c>
      <c r="R6" s="100" t="s">
        <v>53</v>
      </c>
      <c r="S6" s="100" t="s">
        <v>53</v>
      </c>
      <c r="T6" s="100" t="s">
        <v>41</v>
      </c>
      <c r="U6" s="99" t="s">
        <v>41</v>
      </c>
      <c r="V6" s="140"/>
      <c r="W6" s="140"/>
      <c r="X6" s="140"/>
      <c r="Y6" s="102" t="s">
        <v>53</v>
      </c>
      <c r="Z6" s="102" t="s">
        <v>53</v>
      </c>
      <c r="AA6" s="102" t="s">
        <v>53</v>
      </c>
      <c r="AB6" s="102" t="s">
        <v>41</v>
      </c>
      <c r="AC6" s="102" t="s">
        <v>41</v>
      </c>
      <c r="AD6" s="102" t="s">
        <v>53</v>
      </c>
      <c r="AE6" s="102" t="s">
        <v>53</v>
      </c>
      <c r="AF6" s="102" t="s">
        <v>41</v>
      </c>
      <c r="AG6" s="102" t="s">
        <v>41</v>
      </c>
      <c r="AH6" s="152"/>
      <c r="AI6" s="151"/>
      <c r="AJ6" s="151"/>
    </row>
    <row r="7" spans="1:36" s="83" customFormat="1" ht="81.75" customHeight="1">
      <c r="A7" s="158"/>
      <c r="B7" s="152"/>
      <c r="C7" s="139"/>
      <c r="D7" s="100" t="s">
        <v>72</v>
      </c>
      <c r="E7" s="100" t="s">
        <v>72</v>
      </c>
      <c r="F7" s="100" t="s">
        <v>72</v>
      </c>
      <c r="G7" s="100" t="s">
        <v>72</v>
      </c>
      <c r="H7" s="100" t="s">
        <v>72</v>
      </c>
      <c r="I7" s="100" t="s">
        <v>72</v>
      </c>
      <c r="J7" s="100" t="s">
        <v>72</v>
      </c>
      <c r="K7" s="100" t="s">
        <v>72</v>
      </c>
      <c r="L7" s="100" t="s">
        <v>72</v>
      </c>
      <c r="M7" s="102" t="s">
        <v>43</v>
      </c>
      <c r="N7" s="100" t="s">
        <v>42</v>
      </c>
      <c r="O7" s="100" t="s">
        <v>44</v>
      </c>
      <c r="P7" s="100" t="s">
        <v>42</v>
      </c>
      <c r="Q7" s="100" t="s">
        <v>44</v>
      </c>
      <c r="R7" s="100" t="s">
        <v>58</v>
      </c>
      <c r="S7" s="100" t="s">
        <v>56</v>
      </c>
      <c r="T7" s="100" t="s">
        <v>58</v>
      </c>
      <c r="U7" s="99" t="s">
        <v>56</v>
      </c>
      <c r="V7" s="140"/>
      <c r="W7" s="140"/>
      <c r="X7" s="140"/>
      <c r="Y7" s="102" t="s">
        <v>43</v>
      </c>
      <c r="Z7" s="102" t="s">
        <v>42</v>
      </c>
      <c r="AA7" s="102" t="s">
        <v>44</v>
      </c>
      <c r="AB7" s="102" t="s">
        <v>42</v>
      </c>
      <c r="AC7" s="102" t="s">
        <v>44</v>
      </c>
      <c r="AD7" s="102" t="s">
        <v>58</v>
      </c>
      <c r="AE7" s="102" t="s">
        <v>56</v>
      </c>
      <c r="AF7" s="102" t="s">
        <v>58</v>
      </c>
      <c r="AG7" s="102" t="s">
        <v>56</v>
      </c>
      <c r="AH7" s="152"/>
      <c r="AI7" s="151"/>
      <c r="AJ7" s="151"/>
    </row>
    <row r="8" spans="1:36" s="41" customFormat="1" ht="15.75">
      <c r="A8" s="44">
        <v>1</v>
      </c>
      <c r="B8" s="45" t="s">
        <v>0</v>
      </c>
      <c r="C8" s="79">
        <v>5</v>
      </c>
      <c r="D8" s="106">
        <v>185</v>
      </c>
      <c r="E8" s="40"/>
      <c r="F8" s="40"/>
      <c r="G8" s="40"/>
      <c r="H8" s="40">
        <v>6</v>
      </c>
      <c r="I8" s="40">
        <v>3</v>
      </c>
      <c r="J8" s="40"/>
      <c r="K8" s="40"/>
      <c r="L8" s="40">
        <v>1</v>
      </c>
      <c r="M8" s="107">
        <v>28957</v>
      </c>
      <c r="N8" s="107">
        <v>28957</v>
      </c>
      <c r="O8" s="107">
        <v>28957</v>
      </c>
      <c r="P8" s="107">
        <v>32127</v>
      </c>
      <c r="Q8" s="107">
        <v>32127</v>
      </c>
      <c r="R8" s="107">
        <v>341079</v>
      </c>
      <c r="S8" s="107">
        <v>341079</v>
      </c>
      <c r="T8" s="107">
        <v>341079</v>
      </c>
      <c r="U8" s="107">
        <v>341079</v>
      </c>
      <c r="V8" s="76">
        <v>1.047</v>
      </c>
      <c r="W8" s="76">
        <f>'Школы-средняя'!S8</f>
        <v>1</v>
      </c>
      <c r="X8" s="81">
        <v>0.984</v>
      </c>
      <c r="Y8" s="54">
        <f>ROUND(D8*M8*V8*X8*W8/1000,1)</f>
        <v>5519.1</v>
      </c>
      <c r="Z8" s="54">
        <f>ROUND(E8*N8*V8*X8*W8/1000,1)</f>
        <v>0</v>
      </c>
      <c r="AA8" s="54">
        <f>ROUND(F8*O8*V8*X8*W8/1000,1)</f>
        <v>0</v>
      </c>
      <c r="AB8" s="54">
        <f>ROUND(G8*P8*V8*X8*W8/1000,1)</f>
        <v>0</v>
      </c>
      <c r="AC8" s="54">
        <f>ROUND(H8*Q8*V8*X8*W8/1000,1)</f>
        <v>198.6</v>
      </c>
      <c r="AD8" s="54">
        <f>ROUND(I8*R8*X8*V8*W8/1000,1)</f>
        <v>1054.2</v>
      </c>
      <c r="AE8" s="54">
        <f>ROUND(J8*S8*X8/1000*V8*W8,1)</f>
        <v>0</v>
      </c>
      <c r="AF8" s="54">
        <f>ROUND(K8*T8*X8/1000*V8*W8,1)</f>
        <v>0</v>
      </c>
      <c r="AG8" s="54">
        <f>ROUND(L8*U8*X8/1000*V8*W8,1)</f>
        <v>351.4</v>
      </c>
      <c r="AH8" s="54">
        <f>SUM(Y8:AG8)</f>
        <v>7123.3</v>
      </c>
      <c r="AI8" s="68"/>
      <c r="AJ8" s="68"/>
    </row>
    <row r="9" spans="1:36" s="41" customFormat="1" ht="15.75">
      <c r="A9" s="35">
        <v>2</v>
      </c>
      <c r="B9" s="45" t="s">
        <v>60</v>
      </c>
      <c r="C9" s="79">
        <v>6</v>
      </c>
      <c r="D9" s="66">
        <v>383</v>
      </c>
      <c r="E9" s="37">
        <v>3</v>
      </c>
      <c r="F9" s="37"/>
      <c r="G9" s="37"/>
      <c r="H9" s="37">
        <v>2</v>
      </c>
      <c r="I9" s="37">
        <v>2</v>
      </c>
      <c r="J9" s="40"/>
      <c r="K9" s="40">
        <v>2</v>
      </c>
      <c r="L9" s="37"/>
      <c r="M9" s="107">
        <v>31686</v>
      </c>
      <c r="N9" s="107">
        <v>31686</v>
      </c>
      <c r="O9" s="107">
        <v>31686</v>
      </c>
      <c r="P9" s="108">
        <v>35203</v>
      </c>
      <c r="Q9" s="108">
        <v>35203</v>
      </c>
      <c r="R9" s="107">
        <v>341079</v>
      </c>
      <c r="S9" s="107">
        <v>341079</v>
      </c>
      <c r="T9" s="107">
        <v>341079</v>
      </c>
      <c r="U9" s="107">
        <v>341079</v>
      </c>
      <c r="V9" s="76">
        <v>1.095</v>
      </c>
      <c r="W9" s="76">
        <f>'Школы-средняя'!S9</f>
        <v>1.06</v>
      </c>
      <c r="X9" s="81">
        <v>1</v>
      </c>
      <c r="Y9" s="54">
        <f aca="true" t="shared" si="0" ref="Y9:Y46">ROUND(D9*M9*V9*X9*W9/1000,1)</f>
        <v>14086</v>
      </c>
      <c r="Z9" s="54">
        <f aca="true" t="shared" si="1" ref="Z9:Z46">ROUND(E9*N9*V9*X9*W9/1000,1)</f>
        <v>110.3</v>
      </c>
      <c r="AA9" s="54">
        <f aca="true" t="shared" si="2" ref="AA9:AA46">ROUND(F9*O9*V9*X9*W9/1000,1)</f>
        <v>0</v>
      </c>
      <c r="AB9" s="54">
        <f aca="true" t="shared" si="3" ref="AB9:AB46">ROUND(G9*P9*V9*X9*W9/1000,1)</f>
        <v>0</v>
      </c>
      <c r="AC9" s="54">
        <f aca="true" t="shared" si="4" ref="AC9:AC46">ROUND(H9*Q9*V9*X9*W9/1000,1)</f>
        <v>81.7</v>
      </c>
      <c r="AD9" s="54">
        <f aca="true" t="shared" si="5" ref="AD9:AD46">ROUND(I9*R9*X9*V9*W9/1000,1)</f>
        <v>791.8</v>
      </c>
      <c r="AE9" s="54">
        <f aca="true" t="shared" si="6" ref="AE9:AE46">ROUND(J9*S9*X9/1000*V9*W9,1)</f>
        <v>0</v>
      </c>
      <c r="AF9" s="54">
        <f aca="true" t="shared" si="7" ref="AF9:AF46">ROUND(K9*T9*X9/1000*V9*W9,1)</f>
        <v>791.8</v>
      </c>
      <c r="AG9" s="54">
        <f aca="true" t="shared" si="8" ref="AG9:AG46">ROUND(L9*U9*X9/1000*V9*W9,1)</f>
        <v>0</v>
      </c>
      <c r="AH9" s="54">
        <f aca="true" t="shared" si="9" ref="AH9:AH46">SUM(Y9:AG9)</f>
        <v>15861.599999999999</v>
      </c>
      <c r="AI9" s="68"/>
      <c r="AJ9" s="68"/>
    </row>
    <row r="10" spans="1:36" s="41" customFormat="1" ht="15.75">
      <c r="A10" s="44">
        <v>3</v>
      </c>
      <c r="B10" s="45" t="s">
        <v>1</v>
      </c>
      <c r="C10" s="79">
        <v>6</v>
      </c>
      <c r="D10" s="66">
        <v>318</v>
      </c>
      <c r="E10" s="37"/>
      <c r="F10" s="37">
        <v>5</v>
      </c>
      <c r="G10" s="37"/>
      <c r="H10" s="37"/>
      <c r="I10" s="37"/>
      <c r="J10" s="40">
        <v>4</v>
      </c>
      <c r="K10" s="37"/>
      <c r="L10" s="37">
        <v>2</v>
      </c>
      <c r="M10" s="107">
        <v>31686</v>
      </c>
      <c r="N10" s="107">
        <v>31686</v>
      </c>
      <c r="O10" s="107">
        <v>31686</v>
      </c>
      <c r="P10" s="108">
        <v>35203</v>
      </c>
      <c r="Q10" s="108">
        <v>35203</v>
      </c>
      <c r="R10" s="107">
        <v>341079</v>
      </c>
      <c r="S10" s="107">
        <v>341079</v>
      </c>
      <c r="T10" s="107">
        <v>341079</v>
      </c>
      <c r="U10" s="107">
        <v>341079</v>
      </c>
      <c r="V10" s="76">
        <v>1.084</v>
      </c>
      <c r="W10" s="76">
        <f>'Школы-средняя'!S10</f>
        <v>1</v>
      </c>
      <c r="X10" s="81">
        <v>0.873</v>
      </c>
      <c r="Y10" s="54">
        <f t="shared" si="0"/>
        <v>9535.4</v>
      </c>
      <c r="Z10" s="54">
        <f t="shared" si="1"/>
        <v>0</v>
      </c>
      <c r="AA10" s="54">
        <f t="shared" si="2"/>
        <v>149.9</v>
      </c>
      <c r="AB10" s="54">
        <f t="shared" si="3"/>
        <v>0</v>
      </c>
      <c r="AC10" s="54">
        <f t="shared" si="4"/>
        <v>0</v>
      </c>
      <c r="AD10" s="54">
        <f t="shared" si="5"/>
        <v>0</v>
      </c>
      <c r="AE10" s="54">
        <f t="shared" si="6"/>
        <v>1291.1</v>
      </c>
      <c r="AF10" s="54">
        <f t="shared" si="7"/>
        <v>0</v>
      </c>
      <c r="AG10" s="54">
        <f t="shared" si="8"/>
        <v>645.5</v>
      </c>
      <c r="AH10" s="54">
        <f t="shared" si="9"/>
        <v>11621.9</v>
      </c>
      <c r="AI10" s="68"/>
      <c r="AJ10" s="68"/>
    </row>
    <row r="11" spans="1:36" s="41" customFormat="1" ht="15.75">
      <c r="A11" s="35">
        <v>4</v>
      </c>
      <c r="B11" s="45" t="s">
        <v>2</v>
      </c>
      <c r="C11" s="79">
        <v>5</v>
      </c>
      <c r="D11" s="109">
        <v>213</v>
      </c>
      <c r="E11" s="71">
        <v>2</v>
      </c>
      <c r="F11" s="71"/>
      <c r="G11" s="71"/>
      <c r="H11" s="71"/>
      <c r="I11" s="71">
        <v>2</v>
      </c>
      <c r="J11" s="113"/>
      <c r="K11" s="71"/>
      <c r="L11" s="71">
        <v>4</v>
      </c>
      <c r="M11" s="107">
        <v>28957</v>
      </c>
      <c r="N11" s="107">
        <v>28957</v>
      </c>
      <c r="O11" s="107">
        <v>28957</v>
      </c>
      <c r="P11" s="108">
        <v>32127</v>
      </c>
      <c r="Q11" s="108">
        <v>32127</v>
      </c>
      <c r="R11" s="107">
        <v>341079</v>
      </c>
      <c r="S11" s="107">
        <v>341079</v>
      </c>
      <c r="T11" s="107">
        <v>341079</v>
      </c>
      <c r="U11" s="107">
        <v>341079</v>
      </c>
      <c r="V11" s="76">
        <v>1.163</v>
      </c>
      <c r="W11" s="76">
        <f>'Школы-средняя'!S11</f>
        <v>1</v>
      </c>
      <c r="X11" s="81">
        <v>0.833</v>
      </c>
      <c r="Y11" s="54">
        <f t="shared" si="0"/>
        <v>5975.3</v>
      </c>
      <c r="Z11" s="54">
        <f t="shared" si="1"/>
        <v>56.1</v>
      </c>
      <c r="AA11" s="54">
        <f t="shared" si="2"/>
        <v>0</v>
      </c>
      <c r="AB11" s="54">
        <f t="shared" si="3"/>
        <v>0</v>
      </c>
      <c r="AC11" s="54">
        <f t="shared" si="4"/>
        <v>0</v>
      </c>
      <c r="AD11" s="54">
        <f t="shared" si="5"/>
        <v>660.9</v>
      </c>
      <c r="AE11" s="54">
        <f t="shared" si="6"/>
        <v>0</v>
      </c>
      <c r="AF11" s="54">
        <f t="shared" si="7"/>
        <v>0</v>
      </c>
      <c r="AG11" s="54">
        <f t="shared" si="8"/>
        <v>1321.7</v>
      </c>
      <c r="AH11" s="54">
        <f t="shared" si="9"/>
        <v>8014</v>
      </c>
      <c r="AI11" s="68"/>
      <c r="AJ11" s="68"/>
    </row>
    <row r="12" spans="1:36" s="41" customFormat="1" ht="15.75">
      <c r="A12" s="44">
        <v>5</v>
      </c>
      <c r="B12" s="45" t="s">
        <v>59</v>
      </c>
      <c r="C12" s="79">
        <v>5</v>
      </c>
      <c r="D12" s="37"/>
      <c r="E12" s="37"/>
      <c r="F12" s="37"/>
      <c r="G12" s="37"/>
      <c r="H12" s="37"/>
      <c r="I12" s="37"/>
      <c r="J12" s="37"/>
      <c r="K12" s="37"/>
      <c r="L12" s="37"/>
      <c r="M12" s="107">
        <v>28957</v>
      </c>
      <c r="N12" s="107">
        <v>28957</v>
      </c>
      <c r="O12" s="107">
        <v>28957</v>
      </c>
      <c r="P12" s="107">
        <v>32127</v>
      </c>
      <c r="Q12" s="107">
        <v>32127</v>
      </c>
      <c r="R12" s="107">
        <v>341079</v>
      </c>
      <c r="S12" s="107">
        <v>341079</v>
      </c>
      <c r="T12" s="107">
        <v>341079</v>
      </c>
      <c r="U12" s="107">
        <v>341079</v>
      </c>
      <c r="V12" s="76">
        <v>0</v>
      </c>
      <c r="W12" s="76">
        <f>'Школы-средняя'!S12</f>
        <v>1</v>
      </c>
      <c r="X12" s="81">
        <v>0.963</v>
      </c>
      <c r="Y12" s="54">
        <f t="shared" si="0"/>
        <v>0</v>
      </c>
      <c r="Z12" s="54">
        <f t="shared" si="1"/>
        <v>0</v>
      </c>
      <c r="AA12" s="54">
        <f t="shared" si="2"/>
        <v>0</v>
      </c>
      <c r="AB12" s="54">
        <f t="shared" si="3"/>
        <v>0</v>
      </c>
      <c r="AC12" s="54">
        <f t="shared" si="4"/>
        <v>0</v>
      </c>
      <c r="AD12" s="54">
        <f t="shared" si="5"/>
        <v>0</v>
      </c>
      <c r="AE12" s="54">
        <f t="shared" si="6"/>
        <v>0</v>
      </c>
      <c r="AF12" s="54">
        <f t="shared" si="7"/>
        <v>0</v>
      </c>
      <c r="AG12" s="54">
        <f t="shared" si="8"/>
        <v>0</v>
      </c>
      <c r="AH12" s="54">
        <f t="shared" si="9"/>
        <v>0</v>
      </c>
      <c r="AI12" s="68"/>
      <c r="AJ12" s="68"/>
    </row>
    <row r="13" spans="1:36" s="41" customFormat="1" ht="15.75">
      <c r="A13" s="35">
        <v>6</v>
      </c>
      <c r="B13" s="45" t="s">
        <v>3</v>
      </c>
      <c r="C13" s="79">
        <v>5</v>
      </c>
      <c r="D13" s="66">
        <v>282</v>
      </c>
      <c r="E13" s="37">
        <v>1</v>
      </c>
      <c r="F13" s="37"/>
      <c r="G13" s="37">
        <v>1</v>
      </c>
      <c r="H13" s="37">
        <v>6</v>
      </c>
      <c r="I13" s="37"/>
      <c r="J13" s="37"/>
      <c r="K13" s="37">
        <v>2</v>
      </c>
      <c r="L13" s="37"/>
      <c r="M13" s="107">
        <v>28957</v>
      </c>
      <c r="N13" s="107">
        <v>28957</v>
      </c>
      <c r="O13" s="107">
        <v>28957</v>
      </c>
      <c r="P13" s="107">
        <v>32127</v>
      </c>
      <c r="Q13" s="107">
        <v>32127</v>
      </c>
      <c r="R13" s="107">
        <v>341079</v>
      </c>
      <c r="S13" s="107">
        <v>341079</v>
      </c>
      <c r="T13" s="107">
        <v>341079</v>
      </c>
      <c r="U13" s="107">
        <v>341079</v>
      </c>
      <c r="V13" s="76">
        <v>1.038</v>
      </c>
      <c r="W13" s="76">
        <f>'Школы-средняя'!S13</f>
        <v>1.079</v>
      </c>
      <c r="X13" s="81">
        <v>1</v>
      </c>
      <c r="Y13" s="54">
        <f t="shared" si="0"/>
        <v>9145.8</v>
      </c>
      <c r="Z13" s="54">
        <f t="shared" si="1"/>
        <v>32.4</v>
      </c>
      <c r="AA13" s="54">
        <f t="shared" si="2"/>
        <v>0</v>
      </c>
      <c r="AB13" s="54">
        <f t="shared" si="3"/>
        <v>36</v>
      </c>
      <c r="AC13" s="54">
        <f t="shared" si="4"/>
        <v>215.9</v>
      </c>
      <c r="AD13" s="54">
        <f t="shared" si="5"/>
        <v>0</v>
      </c>
      <c r="AE13" s="54">
        <f t="shared" si="6"/>
        <v>0</v>
      </c>
      <c r="AF13" s="54">
        <f t="shared" si="7"/>
        <v>764</v>
      </c>
      <c r="AG13" s="54">
        <f t="shared" si="8"/>
        <v>0</v>
      </c>
      <c r="AH13" s="54">
        <f t="shared" si="9"/>
        <v>10194.099999999999</v>
      </c>
      <c r="AI13" s="68"/>
      <c r="AJ13" s="68"/>
    </row>
    <row r="14" spans="1:36" s="41" customFormat="1" ht="15.75" customHeight="1">
      <c r="A14" s="44">
        <v>7</v>
      </c>
      <c r="B14" s="45" t="s">
        <v>4</v>
      </c>
      <c r="C14" s="79">
        <v>5</v>
      </c>
      <c r="D14" s="66">
        <v>382</v>
      </c>
      <c r="E14" s="37">
        <v>6</v>
      </c>
      <c r="F14" s="37"/>
      <c r="G14" s="37"/>
      <c r="H14" s="37">
        <v>3</v>
      </c>
      <c r="I14" s="37">
        <v>1</v>
      </c>
      <c r="J14" s="37">
        <v>2</v>
      </c>
      <c r="K14" s="37">
        <v>1</v>
      </c>
      <c r="L14" s="37"/>
      <c r="M14" s="107">
        <v>28957</v>
      </c>
      <c r="N14" s="107">
        <v>28957</v>
      </c>
      <c r="O14" s="107">
        <v>28957</v>
      </c>
      <c r="P14" s="107">
        <v>32127</v>
      </c>
      <c r="Q14" s="107">
        <v>32127</v>
      </c>
      <c r="R14" s="107">
        <v>341079</v>
      </c>
      <c r="S14" s="107">
        <v>341079</v>
      </c>
      <c r="T14" s="107">
        <v>341079</v>
      </c>
      <c r="U14" s="107">
        <v>341079</v>
      </c>
      <c r="V14" s="76">
        <v>1.087</v>
      </c>
      <c r="W14" s="76">
        <f>'Школы-средняя'!S14</f>
        <v>1.012</v>
      </c>
      <c r="X14" s="81">
        <v>1</v>
      </c>
      <c r="Y14" s="54">
        <f t="shared" si="0"/>
        <v>12168.2</v>
      </c>
      <c r="Z14" s="54">
        <f t="shared" si="1"/>
        <v>191.1</v>
      </c>
      <c r="AA14" s="54">
        <f t="shared" si="2"/>
        <v>0</v>
      </c>
      <c r="AB14" s="54">
        <f t="shared" si="3"/>
        <v>0</v>
      </c>
      <c r="AC14" s="54">
        <f t="shared" si="4"/>
        <v>106</v>
      </c>
      <c r="AD14" s="54">
        <f t="shared" si="5"/>
        <v>375.2</v>
      </c>
      <c r="AE14" s="54">
        <f t="shared" si="6"/>
        <v>750.4</v>
      </c>
      <c r="AF14" s="54">
        <f t="shared" si="7"/>
        <v>375.2</v>
      </c>
      <c r="AG14" s="54">
        <f t="shared" si="8"/>
        <v>0</v>
      </c>
      <c r="AH14" s="54">
        <f t="shared" si="9"/>
        <v>13966.100000000002</v>
      </c>
      <c r="AI14" s="68"/>
      <c r="AJ14" s="68"/>
    </row>
    <row r="15" spans="1:36" s="41" customFormat="1" ht="15.75">
      <c r="A15" s="35">
        <v>8</v>
      </c>
      <c r="B15" s="47" t="s">
        <v>5</v>
      </c>
      <c r="C15" s="79">
        <v>5</v>
      </c>
      <c r="D15" s="66">
        <v>391</v>
      </c>
      <c r="E15" s="37">
        <v>3</v>
      </c>
      <c r="F15" s="37"/>
      <c r="G15" s="37"/>
      <c r="H15" s="37">
        <v>5</v>
      </c>
      <c r="I15" s="37"/>
      <c r="J15" s="37"/>
      <c r="K15" s="37">
        <v>1</v>
      </c>
      <c r="L15" s="37">
        <v>4</v>
      </c>
      <c r="M15" s="107">
        <v>28957</v>
      </c>
      <c r="N15" s="107">
        <v>28957</v>
      </c>
      <c r="O15" s="107">
        <v>28957</v>
      </c>
      <c r="P15" s="107">
        <v>32127</v>
      </c>
      <c r="Q15" s="107">
        <v>32127</v>
      </c>
      <c r="R15" s="107">
        <v>341079</v>
      </c>
      <c r="S15" s="107">
        <v>341079</v>
      </c>
      <c r="T15" s="107">
        <v>341079</v>
      </c>
      <c r="U15" s="107">
        <v>341079</v>
      </c>
      <c r="V15" s="76">
        <v>1.065</v>
      </c>
      <c r="W15" s="76">
        <f>'Школы-средняя'!S15</f>
        <v>1</v>
      </c>
      <c r="X15" s="81">
        <v>0.946</v>
      </c>
      <c r="Y15" s="54">
        <f t="shared" si="0"/>
        <v>11407</v>
      </c>
      <c r="Z15" s="54">
        <f t="shared" si="1"/>
        <v>87.5</v>
      </c>
      <c r="AA15" s="54">
        <f t="shared" si="2"/>
        <v>0</v>
      </c>
      <c r="AB15" s="54">
        <f t="shared" si="3"/>
        <v>0</v>
      </c>
      <c r="AC15" s="54">
        <f t="shared" si="4"/>
        <v>161.8</v>
      </c>
      <c r="AD15" s="54">
        <f t="shared" si="5"/>
        <v>0</v>
      </c>
      <c r="AE15" s="54">
        <f t="shared" si="6"/>
        <v>0</v>
      </c>
      <c r="AF15" s="54">
        <f t="shared" si="7"/>
        <v>343.6</v>
      </c>
      <c r="AG15" s="54">
        <f t="shared" si="8"/>
        <v>1374.5</v>
      </c>
      <c r="AH15" s="54">
        <f t="shared" si="9"/>
        <v>13374.4</v>
      </c>
      <c r="AI15" s="68"/>
      <c r="AJ15" s="68"/>
    </row>
    <row r="16" spans="1:36" s="41" customFormat="1" ht="15.75">
      <c r="A16" s="44">
        <v>9</v>
      </c>
      <c r="B16" s="45" t="s">
        <v>6</v>
      </c>
      <c r="C16" s="79">
        <v>5</v>
      </c>
      <c r="D16" s="66">
        <v>19</v>
      </c>
      <c r="E16" s="37"/>
      <c r="F16" s="37"/>
      <c r="G16" s="37"/>
      <c r="H16" s="37"/>
      <c r="I16" s="37"/>
      <c r="J16" s="37"/>
      <c r="K16" s="37"/>
      <c r="L16" s="37"/>
      <c r="M16" s="108">
        <v>32488</v>
      </c>
      <c r="N16" s="108">
        <v>32488</v>
      </c>
      <c r="O16" s="108">
        <v>32488</v>
      </c>
      <c r="P16" s="108">
        <v>35734</v>
      </c>
      <c r="Q16" s="108">
        <v>35734</v>
      </c>
      <c r="R16" s="108">
        <v>377993</v>
      </c>
      <c r="S16" s="108">
        <v>377993</v>
      </c>
      <c r="T16" s="108">
        <v>377993</v>
      </c>
      <c r="U16" s="108">
        <v>377993</v>
      </c>
      <c r="V16" s="77">
        <v>6.579</v>
      </c>
      <c r="W16" s="76">
        <f>'Школы-средняя'!S16</f>
        <v>1</v>
      </c>
      <c r="X16" s="81">
        <v>0.809</v>
      </c>
      <c r="Y16" s="54">
        <f t="shared" si="0"/>
        <v>3285.4</v>
      </c>
      <c r="Z16" s="54">
        <f t="shared" si="1"/>
        <v>0</v>
      </c>
      <c r="AA16" s="54">
        <f t="shared" si="2"/>
        <v>0</v>
      </c>
      <c r="AB16" s="54">
        <f t="shared" si="3"/>
        <v>0</v>
      </c>
      <c r="AC16" s="54">
        <f t="shared" si="4"/>
        <v>0</v>
      </c>
      <c r="AD16" s="54">
        <f t="shared" si="5"/>
        <v>0</v>
      </c>
      <c r="AE16" s="54">
        <f t="shared" si="6"/>
        <v>0</v>
      </c>
      <c r="AF16" s="54">
        <f t="shared" si="7"/>
        <v>0</v>
      </c>
      <c r="AG16" s="54">
        <f t="shared" si="8"/>
        <v>0</v>
      </c>
      <c r="AH16" s="54">
        <f t="shared" si="9"/>
        <v>3285.4</v>
      </c>
      <c r="AI16" s="68"/>
      <c r="AJ16" s="68"/>
    </row>
    <row r="17" spans="1:36" s="41" customFormat="1" ht="15.75">
      <c r="A17" s="35">
        <v>10</v>
      </c>
      <c r="B17" s="36" t="s">
        <v>7</v>
      </c>
      <c r="C17" s="79">
        <v>5</v>
      </c>
      <c r="D17" s="66">
        <v>94</v>
      </c>
      <c r="E17" s="37">
        <v>1</v>
      </c>
      <c r="F17" s="37"/>
      <c r="G17" s="37"/>
      <c r="H17" s="37"/>
      <c r="I17" s="37"/>
      <c r="J17" s="37"/>
      <c r="K17" s="37">
        <v>1</v>
      </c>
      <c r="L17" s="37">
        <v>1</v>
      </c>
      <c r="M17" s="108">
        <v>32488</v>
      </c>
      <c r="N17" s="108">
        <v>32488</v>
      </c>
      <c r="O17" s="108">
        <v>32488</v>
      </c>
      <c r="P17" s="108">
        <v>35734</v>
      </c>
      <c r="Q17" s="108">
        <v>35734</v>
      </c>
      <c r="R17" s="108">
        <v>377993</v>
      </c>
      <c r="S17" s="108">
        <v>377993</v>
      </c>
      <c r="T17" s="108">
        <v>377993</v>
      </c>
      <c r="U17" s="108">
        <v>377993</v>
      </c>
      <c r="V17" s="77">
        <v>1.316</v>
      </c>
      <c r="W17" s="76">
        <f>'Школы-средняя'!S17</f>
        <v>1</v>
      </c>
      <c r="X17" s="81">
        <v>0.994</v>
      </c>
      <c r="Y17" s="54">
        <f t="shared" si="0"/>
        <v>3994.8</v>
      </c>
      <c r="Z17" s="54">
        <f t="shared" si="1"/>
        <v>42.5</v>
      </c>
      <c r="AA17" s="54">
        <f t="shared" si="2"/>
        <v>0</v>
      </c>
      <c r="AB17" s="54">
        <f t="shared" si="3"/>
        <v>0</v>
      </c>
      <c r="AC17" s="54">
        <f t="shared" si="4"/>
        <v>0</v>
      </c>
      <c r="AD17" s="54">
        <f t="shared" si="5"/>
        <v>0</v>
      </c>
      <c r="AE17" s="54">
        <f t="shared" si="6"/>
        <v>0</v>
      </c>
      <c r="AF17" s="54">
        <f t="shared" si="7"/>
        <v>494.5</v>
      </c>
      <c r="AG17" s="54">
        <f t="shared" si="8"/>
        <v>494.5</v>
      </c>
      <c r="AH17" s="54">
        <f t="shared" si="9"/>
        <v>5026.3</v>
      </c>
      <c r="AI17" s="68"/>
      <c r="AJ17" s="68"/>
    </row>
    <row r="18" spans="1:36" s="41" customFormat="1" ht="15.75">
      <c r="A18" s="44">
        <v>11</v>
      </c>
      <c r="B18" s="36" t="s">
        <v>8</v>
      </c>
      <c r="C18" s="79">
        <v>5</v>
      </c>
      <c r="D18" s="66">
        <v>94</v>
      </c>
      <c r="E18" s="37"/>
      <c r="F18" s="37">
        <v>1</v>
      </c>
      <c r="G18" s="37"/>
      <c r="H18" s="37"/>
      <c r="I18" s="37"/>
      <c r="J18" s="37"/>
      <c r="K18" s="37"/>
      <c r="L18" s="37"/>
      <c r="M18" s="108">
        <v>32488</v>
      </c>
      <c r="N18" s="108">
        <v>32488</v>
      </c>
      <c r="O18" s="108">
        <v>32488</v>
      </c>
      <c r="P18" s="108">
        <v>35734</v>
      </c>
      <c r="Q18" s="108">
        <v>35734</v>
      </c>
      <c r="R18" s="108">
        <v>377993</v>
      </c>
      <c r="S18" s="108">
        <v>377993</v>
      </c>
      <c r="T18" s="108">
        <v>377993</v>
      </c>
      <c r="U18" s="108">
        <v>377993</v>
      </c>
      <c r="V18" s="77">
        <v>1.316</v>
      </c>
      <c r="W18" s="76">
        <f>'Школы-средняя'!S18</f>
        <v>1.143</v>
      </c>
      <c r="X18" s="81">
        <v>1</v>
      </c>
      <c r="Y18" s="54">
        <f t="shared" si="0"/>
        <v>4593.6</v>
      </c>
      <c r="Z18" s="54">
        <f t="shared" si="1"/>
        <v>0</v>
      </c>
      <c r="AA18" s="54">
        <f t="shared" si="2"/>
        <v>48.9</v>
      </c>
      <c r="AB18" s="54">
        <f t="shared" si="3"/>
        <v>0</v>
      </c>
      <c r="AC18" s="54">
        <f t="shared" si="4"/>
        <v>0</v>
      </c>
      <c r="AD18" s="54">
        <f t="shared" si="5"/>
        <v>0</v>
      </c>
      <c r="AE18" s="54">
        <f t="shared" si="6"/>
        <v>0</v>
      </c>
      <c r="AF18" s="54">
        <f t="shared" si="7"/>
        <v>0</v>
      </c>
      <c r="AG18" s="54">
        <f t="shared" si="8"/>
        <v>0</v>
      </c>
      <c r="AH18" s="54">
        <f t="shared" si="9"/>
        <v>4642.5</v>
      </c>
      <c r="AI18" s="68"/>
      <c r="AJ18" s="68"/>
    </row>
    <row r="19" spans="1:36" s="41" customFormat="1" ht="15.75">
      <c r="A19" s="35">
        <v>12</v>
      </c>
      <c r="B19" s="36" t="s">
        <v>9</v>
      </c>
      <c r="C19" s="79">
        <v>5</v>
      </c>
      <c r="D19" s="66">
        <v>109</v>
      </c>
      <c r="E19" s="37"/>
      <c r="F19" s="37">
        <v>1</v>
      </c>
      <c r="G19" s="37"/>
      <c r="H19" s="37"/>
      <c r="I19" s="37"/>
      <c r="J19" s="37"/>
      <c r="K19" s="37">
        <v>4</v>
      </c>
      <c r="L19" s="37"/>
      <c r="M19" s="108">
        <v>32488</v>
      </c>
      <c r="N19" s="108">
        <v>32488</v>
      </c>
      <c r="O19" s="108">
        <v>32488</v>
      </c>
      <c r="P19" s="108">
        <v>35734</v>
      </c>
      <c r="Q19" s="108">
        <v>35734</v>
      </c>
      <c r="R19" s="108">
        <v>377993</v>
      </c>
      <c r="S19" s="108">
        <v>377993</v>
      </c>
      <c r="T19" s="108">
        <v>377993</v>
      </c>
      <c r="U19" s="108">
        <v>377993</v>
      </c>
      <c r="V19" s="77">
        <v>1.364</v>
      </c>
      <c r="W19" s="76">
        <f>'Школы-средняя'!S19</f>
        <v>1</v>
      </c>
      <c r="X19" s="81">
        <v>0.938</v>
      </c>
      <c r="Y19" s="54">
        <f t="shared" si="0"/>
        <v>4530.7</v>
      </c>
      <c r="Z19" s="54">
        <f t="shared" si="1"/>
        <v>0</v>
      </c>
      <c r="AA19" s="54">
        <f t="shared" si="2"/>
        <v>41.6</v>
      </c>
      <c r="AB19" s="54">
        <f t="shared" si="3"/>
        <v>0</v>
      </c>
      <c r="AC19" s="54">
        <f t="shared" si="4"/>
        <v>0</v>
      </c>
      <c r="AD19" s="54">
        <f t="shared" si="5"/>
        <v>0</v>
      </c>
      <c r="AE19" s="54">
        <f t="shared" si="6"/>
        <v>0</v>
      </c>
      <c r="AF19" s="54">
        <f t="shared" si="7"/>
        <v>1934.5</v>
      </c>
      <c r="AG19" s="54">
        <f t="shared" si="8"/>
        <v>0</v>
      </c>
      <c r="AH19" s="54">
        <f t="shared" si="9"/>
        <v>6506.8</v>
      </c>
      <c r="AI19" s="68"/>
      <c r="AJ19" s="68"/>
    </row>
    <row r="20" spans="1:36" s="41" customFormat="1" ht="15.75">
      <c r="A20" s="44">
        <v>13</v>
      </c>
      <c r="B20" s="36" t="s">
        <v>10</v>
      </c>
      <c r="C20" s="79">
        <v>5</v>
      </c>
      <c r="D20" s="66">
        <v>287</v>
      </c>
      <c r="E20" s="37">
        <v>1</v>
      </c>
      <c r="F20" s="37"/>
      <c r="G20" s="37"/>
      <c r="H20" s="37"/>
      <c r="I20" s="37"/>
      <c r="J20" s="37"/>
      <c r="K20" s="37"/>
      <c r="L20" s="37"/>
      <c r="M20" s="108">
        <v>32488</v>
      </c>
      <c r="N20" s="108">
        <v>32488</v>
      </c>
      <c r="O20" s="108">
        <v>32488</v>
      </c>
      <c r="P20" s="108">
        <v>35734</v>
      </c>
      <c r="Q20" s="108">
        <v>35734</v>
      </c>
      <c r="R20" s="108">
        <v>377993</v>
      </c>
      <c r="S20" s="108">
        <v>377993</v>
      </c>
      <c r="T20" s="108">
        <v>377993</v>
      </c>
      <c r="U20" s="108">
        <v>377993</v>
      </c>
      <c r="V20" s="77">
        <v>1.128</v>
      </c>
      <c r="W20" s="76">
        <f>'Школы-средняя'!S20</f>
        <v>1</v>
      </c>
      <c r="X20" s="81">
        <v>0.928</v>
      </c>
      <c r="Y20" s="54">
        <f t="shared" si="0"/>
        <v>9760.3</v>
      </c>
      <c r="Z20" s="54">
        <f t="shared" si="1"/>
        <v>34</v>
      </c>
      <c r="AA20" s="54">
        <f t="shared" si="2"/>
        <v>0</v>
      </c>
      <c r="AB20" s="54">
        <f t="shared" si="3"/>
        <v>0</v>
      </c>
      <c r="AC20" s="54">
        <f t="shared" si="4"/>
        <v>0</v>
      </c>
      <c r="AD20" s="54">
        <f t="shared" si="5"/>
        <v>0</v>
      </c>
      <c r="AE20" s="54">
        <f t="shared" si="6"/>
        <v>0</v>
      </c>
      <c r="AF20" s="54">
        <f t="shared" si="7"/>
        <v>0</v>
      </c>
      <c r="AG20" s="54">
        <f t="shared" si="8"/>
        <v>0</v>
      </c>
      <c r="AH20" s="54">
        <f t="shared" si="9"/>
        <v>9794.3</v>
      </c>
      <c r="AI20" s="68"/>
      <c r="AJ20" s="68"/>
    </row>
    <row r="21" spans="1:36" s="41" customFormat="1" ht="19.5" customHeight="1">
      <c r="A21" s="35">
        <v>14</v>
      </c>
      <c r="B21" s="36" t="s">
        <v>11</v>
      </c>
      <c r="C21" s="79">
        <v>5</v>
      </c>
      <c r="D21" s="66">
        <v>23</v>
      </c>
      <c r="E21" s="37"/>
      <c r="F21" s="37"/>
      <c r="G21" s="37"/>
      <c r="H21" s="37">
        <v>2</v>
      </c>
      <c r="I21" s="37"/>
      <c r="J21" s="37"/>
      <c r="K21" s="37"/>
      <c r="L21" s="37"/>
      <c r="M21" s="108">
        <v>32488</v>
      </c>
      <c r="N21" s="108">
        <v>32488</v>
      </c>
      <c r="O21" s="108">
        <v>32488</v>
      </c>
      <c r="P21" s="108">
        <v>35734</v>
      </c>
      <c r="Q21" s="108">
        <v>35734</v>
      </c>
      <c r="R21" s="108">
        <v>377993</v>
      </c>
      <c r="S21" s="108">
        <v>377993</v>
      </c>
      <c r="T21" s="108">
        <v>377993</v>
      </c>
      <c r="U21" s="108">
        <v>377993</v>
      </c>
      <c r="V21" s="77">
        <v>5</v>
      </c>
      <c r="W21" s="76">
        <f>'Школы-средняя'!S21</f>
        <v>1</v>
      </c>
      <c r="X21" s="81">
        <v>0.81</v>
      </c>
      <c r="Y21" s="54">
        <f t="shared" si="0"/>
        <v>3026.3</v>
      </c>
      <c r="Z21" s="54">
        <f t="shared" si="1"/>
        <v>0</v>
      </c>
      <c r="AA21" s="54">
        <f t="shared" si="2"/>
        <v>0</v>
      </c>
      <c r="AB21" s="54">
        <f t="shared" si="3"/>
        <v>0</v>
      </c>
      <c r="AC21" s="54">
        <f t="shared" si="4"/>
        <v>289.4</v>
      </c>
      <c r="AD21" s="54">
        <f t="shared" si="5"/>
        <v>0</v>
      </c>
      <c r="AE21" s="54">
        <f t="shared" si="6"/>
        <v>0</v>
      </c>
      <c r="AF21" s="54">
        <f t="shared" si="7"/>
        <v>0</v>
      </c>
      <c r="AG21" s="54">
        <f t="shared" si="8"/>
        <v>0</v>
      </c>
      <c r="AH21" s="54">
        <f t="shared" si="9"/>
        <v>3315.7000000000003</v>
      </c>
      <c r="AI21" s="68"/>
      <c r="AJ21" s="68"/>
    </row>
    <row r="22" spans="1:36" s="41" customFormat="1" ht="15.75">
      <c r="A22" s="44">
        <v>15</v>
      </c>
      <c r="B22" s="36" t="s">
        <v>12</v>
      </c>
      <c r="C22" s="79">
        <v>5</v>
      </c>
      <c r="D22" s="66">
        <v>223</v>
      </c>
      <c r="E22" s="37">
        <v>1</v>
      </c>
      <c r="F22" s="37"/>
      <c r="G22" s="37"/>
      <c r="H22" s="37">
        <v>3</v>
      </c>
      <c r="I22" s="37"/>
      <c r="J22" s="37"/>
      <c r="K22" s="37">
        <v>2</v>
      </c>
      <c r="L22" s="37"/>
      <c r="M22" s="108">
        <v>32488</v>
      </c>
      <c r="N22" s="108">
        <v>32488</v>
      </c>
      <c r="O22" s="108">
        <v>32488</v>
      </c>
      <c r="P22" s="108">
        <v>35734</v>
      </c>
      <c r="Q22" s="108">
        <v>35734</v>
      </c>
      <c r="R22" s="108">
        <v>377993</v>
      </c>
      <c r="S22" s="108">
        <v>377993</v>
      </c>
      <c r="T22" s="108">
        <v>377993</v>
      </c>
      <c r="U22" s="108">
        <v>377993</v>
      </c>
      <c r="V22" s="77">
        <v>1.211</v>
      </c>
      <c r="W22" s="76">
        <f>'Школы-средняя'!S22</f>
        <v>1</v>
      </c>
      <c r="X22" s="81">
        <v>0.973</v>
      </c>
      <c r="Y22" s="54">
        <f t="shared" si="0"/>
        <v>8536.6</v>
      </c>
      <c r="Z22" s="54">
        <f t="shared" si="1"/>
        <v>38.3</v>
      </c>
      <c r="AA22" s="54">
        <f t="shared" si="2"/>
        <v>0</v>
      </c>
      <c r="AB22" s="54">
        <f t="shared" si="3"/>
        <v>0</v>
      </c>
      <c r="AC22" s="54">
        <f t="shared" si="4"/>
        <v>126.3</v>
      </c>
      <c r="AD22" s="54">
        <f t="shared" si="5"/>
        <v>0</v>
      </c>
      <c r="AE22" s="54">
        <f t="shared" si="6"/>
        <v>0</v>
      </c>
      <c r="AF22" s="54">
        <f t="shared" si="7"/>
        <v>890.8</v>
      </c>
      <c r="AG22" s="54">
        <f t="shared" si="8"/>
        <v>0</v>
      </c>
      <c r="AH22" s="54">
        <f t="shared" si="9"/>
        <v>9591.999999999998</v>
      </c>
      <c r="AI22" s="68"/>
      <c r="AJ22" s="68"/>
    </row>
    <row r="23" spans="1:36" s="41" customFormat="1" ht="15.75" customHeight="1">
      <c r="A23" s="35">
        <v>16</v>
      </c>
      <c r="B23" s="36" t="s">
        <v>13</v>
      </c>
      <c r="C23" s="79">
        <v>5</v>
      </c>
      <c r="D23" s="66">
        <v>61</v>
      </c>
      <c r="E23" s="37">
        <v>1</v>
      </c>
      <c r="F23" s="37"/>
      <c r="G23" s="37"/>
      <c r="H23" s="37">
        <v>2</v>
      </c>
      <c r="I23" s="37"/>
      <c r="J23" s="37"/>
      <c r="K23" s="37">
        <v>2</v>
      </c>
      <c r="L23" s="37">
        <v>1</v>
      </c>
      <c r="M23" s="108">
        <v>32488</v>
      </c>
      <c r="N23" s="108">
        <v>32488</v>
      </c>
      <c r="O23" s="108">
        <v>32488</v>
      </c>
      <c r="P23" s="108">
        <v>35734</v>
      </c>
      <c r="Q23" s="108">
        <v>35734</v>
      </c>
      <c r="R23" s="108">
        <v>377993</v>
      </c>
      <c r="S23" s="108">
        <v>377993</v>
      </c>
      <c r="T23" s="108">
        <v>377993</v>
      </c>
      <c r="U23" s="108">
        <v>377993</v>
      </c>
      <c r="V23" s="77">
        <v>1.953</v>
      </c>
      <c r="W23" s="76">
        <f>'Школы-средняя'!S23</f>
        <v>1</v>
      </c>
      <c r="X23" s="81">
        <v>0.803</v>
      </c>
      <c r="Y23" s="54">
        <f t="shared" si="0"/>
        <v>3107.9</v>
      </c>
      <c r="Z23" s="54">
        <f t="shared" si="1"/>
        <v>50.9</v>
      </c>
      <c r="AA23" s="54">
        <f t="shared" si="2"/>
        <v>0</v>
      </c>
      <c r="AB23" s="54">
        <f t="shared" si="3"/>
        <v>0</v>
      </c>
      <c r="AC23" s="54">
        <f t="shared" si="4"/>
        <v>112.1</v>
      </c>
      <c r="AD23" s="54">
        <f t="shared" si="5"/>
        <v>0</v>
      </c>
      <c r="AE23" s="54">
        <f t="shared" si="6"/>
        <v>0</v>
      </c>
      <c r="AF23" s="54">
        <f t="shared" si="7"/>
        <v>1185.6</v>
      </c>
      <c r="AG23" s="54">
        <f t="shared" si="8"/>
        <v>592.8</v>
      </c>
      <c r="AH23" s="54">
        <f t="shared" si="9"/>
        <v>5049.3</v>
      </c>
      <c r="AI23" s="68"/>
      <c r="AJ23" s="68"/>
    </row>
    <row r="24" spans="1:36" s="41" customFormat="1" ht="19.5" customHeight="1">
      <c r="A24" s="44">
        <v>17</v>
      </c>
      <c r="B24" s="36" t="s">
        <v>14</v>
      </c>
      <c r="C24" s="79">
        <v>5</v>
      </c>
      <c r="D24" s="66">
        <v>14</v>
      </c>
      <c r="E24" s="37"/>
      <c r="F24" s="37"/>
      <c r="G24" s="37"/>
      <c r="H24" s="37">
        <v>1</v>
      </c>
      <c r="I24" s="37"/>
      <c r="J24" s="37"/>
      <c r="K24" s="37"/>
      <c r="L24" s="37"/>
      <c r="M24" s="108">
        <v>35550</v>
      </c>
      <c r="N24" s="108">
        <v>35550</v>
      </c>
      <c r="O24" s="108">
        <v>35550</v>
      </c>
      <c r="P24" s="108">
        <v>39559</v>
      </c>
      <c r="Q24" s="108">
        <v>39559</v>
      </c>
      <c r="R24" s="108">
        <v>377993</v>
      </c>
      <c r="S24" s="108">
        <v>377993</v>
      </c>
      <c r="T24" s="108">
        <v>377993</v>
      </c>
      <c r="U24" s="108">
        <v>377993</v>
      </c>
      <c r="V24" s="77">
        <v>8.333</v>
      </c>
      <c r="W24" s="76">
        <f>'Школы-средняя'!S24</f>
        <v>1</v>
      </c>
      <c r="X24" s="81">
        <v>0.692</v>
      </c>
      <c r="Y24" s="54">
        <f t="shared" si="0"/>
        <v>2870</v>
      </c>
      <c r="Z24" s="54">
        <f t="shared" si="1"/>
        <v>0</v>
      </c>
      <c r="AA24" s="54">
        <f t="shared" si="2"/>
        <v>0</v>
      </c>
      <c r="AB24" s="54">
        <f t="shared" si="3"/>
        <v>0</v>
      </c>
      <c r="AC24" s="54">
        <f t="shared" si="4"/>
        <v>228.1</v>
      </c>
      <c r="AD24" s="54">
        <f t="shared" si="5"/>
        <v>0</v>
      </c>
      <c r="AE24" s="54">
        <f t="shared" si="6"/>
        <v>0</v>
      </c>
      <c r="AF24" s="54">
        <f t="shared" si="7"/>
        <v>0</v>
      </c>
      <c r="AG24" s="54">
        <f t="shared" si="8"/>
        <v>0</v>
      </c>
      <c r="AH24" s="54">
        <f t="shared" si="9"/>
        <v>3098.1</v>
      </c>
      <c r="AI24" s="68"/>
      <c r="AJ24" s="68"/>
    </row>
    <row r="25" spans="1:36" s="41" customFormat="1" ht="15.75">
      <c r="A25" s="35">
        <v>18</v>
      </c>
      <c r="B25" s="36" t="s">
        <v>15</v>
      </c>
      <c r="C25" s="79">
        <v>5</v>
      </c>
      <c r="D25" s="66">
        <v>36</v>
      </c>
      <c r="E25" s="37"/>
      <c r="F25" s="37"/>
      <c r="G25" s="37"/>
      <c r="H25" s="37"/>
      <c r="I25" s="37"/>
      <c r="J25" s="37"/>
      <c r="K25" s="37"/>
      <c r="L25" s="37"/>
      <c r="M25" s="108">
        <v>32488</v>
      </c>
      <c r="N25" s="108">
        <v>32488</v>
      </c>
      <c r="O25" s="108">
        <v>32488</v>
      </c>
      <c r="P25" s="108">
        <v>35734</v>
      </c>
      <c r="Q25" s="108">
        <v>35734</v>
      </c>
      <c r="R25" s="108">
        <v>377993</v>
      </c>
      <c r="S25" s="108">
        <v>377993</v>
      </c>
      <c r="T25" s="108">
        <v>377993</v>
      </c>
      <c r="U25" s="108">
        <v>377993</v>
      </c>
      <c r="V25" s="77">
        <v>3.472</v>
      </c>
      <c r="W25" s="76">
        <f>'Школы-средняя'!S25</f>
        <v>1</v>
      </c>
      <c r="X25" s="81">
        <v>0.709</v>
      </c>
      <c r="Y25" s="54">
        <f t="shared" si="0"/>
        <v>2879.1</v>
      </c>
      <c r="Z25" s="54">
        <f t="shared" si="1"/>
        <v>0</v>
      </c>
      <c r="AA25" s="54">
        <f t="shared" si="2"/>
        <v>0</v>
      </c>
      <c r="AB25" s="54">
        <f t="shared" si="3"/>
        <v>0</v>
      </c>
      <c r="AC25" s="54">
        <f t="shared" si="4"/>
        <v>0</v>
      </c>
      <c r="AD25" s="54">
        <f t="shared" si="5"/>
        <v>0</v>
      </c>
      <c r="AE25" s="54">
        <f t="shared" si="6"/>
        <v>0</v>
      </c>
      <c r="AF25" s="54">
        <f t="shared" si="7"/>
        <v>0</v>
      </c>
      <c r="AG25" s="54">
        <f t="shared" si="8"/>
        <v>0</v>
      </c>
      <c r="AH25" s="54">
        <f t="shared" si="9"/>
        <v>2879.1</v>
      </c>
      <c r="AI25" s="68"/>
      <c r="AJ25" s="68"/>
    </row>
    <row r="26" spans="1:36" s="41" customFormat="1" ht="21" customHeight="1">
      <c r="A26" s="44">
        <v>19</v>
      </c>
      <c r="B26" s="36" t="s">
        <v>16</v>
      </c>
      <c r="C26" s="79">
        <v>5</v>
      </c>
      <c r="D26" s="66">
        <v>106</v>
      </c>
      <c r="E26" s="37"/>
      <c r="F26" s="37"/>
      <c r="G26" s="37"/>
      <c r="H26" s="37"/>
      <c r="I26" s="37"/>
      <c r="J26" s="37">
        <v>1</v>
      </c>
      <c r="K26" s="37"/>
      <c r="L26" s="37">
        <v>2</v>
      </c>
      <c r="M26" s="108">
        <v>32488</v>
      </c>
      <c r="N26" s="108">
        <v>32488</v>
      </c>
      <c r="O26" s="108">
        <v>32488</v>
      </c>
      <c r="P26" s="108">
        <v>35734</v>
      </c>
      <c r="Q26" s="108">
        <v>35734</v>
      </c>
      <c r="R26" s="108">
        <v>377993</v>
      </c>
      <c r="S26" s="108">
        <v>377993</v>
      </c>
      <c r="T26" s="108">
        <v>377993</v>
      </c>
      <c r="U26" s="108">
        <v>377993</v>
      </c>
      <c r="V26" s="77">
        <v>1.415</v>
      </c>
      <c r="W26" s="76">
        <f>'Школы-средняя'!S26</f>
        <v>1.006</v>
      </c>
      <c r="X26" s="81">
        <v>1</v>
      </c>
      <c r="Y26" s="54">
        <f t="shared" si="0"/>
        <v>4902.1</v>
      </c>
      <c r="Z26" s="54">
        <f t="shared" si="1"/>
        <v>0</v>
      </c>
      <c r="AA26" s="54">
        <f t="shared" si="2"/>
        <v>0</v>
      </c>
      <c r="AB26" s="54">
        <f t="shared" si="3"/>
        <v>0</v>
      </c>
      <c r="AC26" s="54">
        <f t="shared" si="4"/>
        <v>0</v>
      </c>
      <c r="AD26" s="54">
        <f t="shared" si="5"/>
        <v>0</v>
      </c>
      <c r="AE26" s="54">
        <f t="shared" si="6"/>
        <v>538.1</v>
      </c>
      <c r="AF26" s="54">
        <f t="shared" si="7"/>
        <v>0</v>
      </c>
      <c r="AG26" s="54">
        <f t="shared" si="8"/>
        <v>1076.1</v>
      </c>
      <c r="AH26" s="54">
        <f t="shared" si="9"/>
        <v>6516.300000000001</v>
      </c>
      <c r="AI26" s="68"/>
      <c r="AJ26" s="68"/>
    </row>
    <row r="27" spans="1:36" s="41" customFormat="1" ht="15.75">
      <c r="A27" s="35">
        <v>20</v>
      </c>
      <c r="B27" s="36" t="s">
        <v>17</v>
      </c>
      <c r="C27" s="79">
        <v>5</v>
      </c>
      <c r="D27" s="66">
        <v>220</v>
      </c>
      <c r="E27" s="37">
        <v>1</v>
      </c>
      <c r="F27" s="37"/>
      <c r="G27" s="37"/>
      <c r="H27" s="37">
        <v>1</v>
      </c>
      <c r="I27" s="37"/>
      <c r="J27" s="37"/>
      <c r="K27" s="37"/>
      <c r="L27" s="37"/>
      <c r="M27" s="108">
        <v>32488</v>
      </c>
      <c r="N27" s="108">
        <v>32488</v>
      </c>
      <c r="O27" s="108">
        <v>32488</v>
      </c>
      <c r="P27" s="108">
        <v>35734</v>
      </c>
      <c r="Q27" s="108">
        <v>35734</v>
      </c>
      <c r="R27" s="108">
        <v>377993</v>
      </c>
      <c r="S27" s="108">
        <v>377993</v>
      </c>
      <c r="T27" s="108">
        <v>377993</v>
      </c>
      <c r="U27" s="108">
        <v>377993</v>
      </c>
      <c r="V27" s="77">
        <v>1.126</v>
      </c>
      <c r="W27" s="76">
        <f>'Школы-средняя'!S27</f>
        <v>1.136</v>
      </c>
      <c r="X27" s="81">
        <v>1</v>
      </c>
      <c r="Y27" s="54">
        <f t="shared" si="0"/>
        <v>9142.4</v>
      </c>
      <c r="Z27" s="54">
        <f t="shared" si="1"/>
        <v>41.6</v>
      </c>
      <c r="AA27" s="54">
        <f t="shared" si="2"/>
        <v>0</v>
      </c>
      <c r="AB27" s="54">
        <f t="shared" si="3"/>
        <v>0</v>
      </c>
      <c r="AC27" s="54">
        <f t="shared" si="4"/>
        <v>45.7</v>
      </c>
      <c r="AD27" s="54">
        <f t="shared" si="5"/>
        <v>0</v>
      </c>
      <c r="AE27" s="54">
        <f t="shared" si="6"/>
        <v>0</v>
      </c>
      <c r="AF27" s="54">
        <f t="shared" si="7"/>
        <v>0</v>
      </c>
      <c r="AG27" s="54">
        <f t="shared" si="8"/>
        <v>0</v>
      </c>
      <c r="AH27" s="54">
        <f t="shared" si="9"/>
        <v>9229.7</v>
      </c>
      <c r="AI27" s="68"/>
      <c r="AJ27" s="68"/>
    </row>
    <row r="28" spans="1:36" s="41" customFormat="1" ht="15.75">
      <c r="A28" s="44">
        <v>21</v>
      </c>
      <c r="B28" s="36" t="s">
        <v>18</v>
      </c>
      <c r="C28" s="79">
        <v>5</v>
      </c>
      <c r="D28" s="66">
        <v>29</v>
      </c>
      <c r="E28" s="66">
        <v>1</v>
      </c>
      <c r="F28" s="66">
        <v>2</v>
      </c>
      <c r="G28" s="66"/>
      <c r="H28" s="66"/>
      <c r="I28" s="37"/>
      <c r="J28" s="37"/>
      <c r="K28" s="66"/>
      <c r="L28" s="66"/>
      <c r="M28" s="108">
        <v>32488</v>
      </c>
      <c r="N28" s="108">
        <v>32488</v>
      </c>
      <c r="O28" s="108">
        <v>32488</v>
      </c>
      <c r="P28" s="108">
        <v>35734</v>
      </c>
      <c r="Q28" s="108">
        <v>35734</v>
      </c>
      <c r="R28" s="108">
        <v>377993</v>
      </c>
      <c r="S28" s="108">
        <v>377993</v>
      </c>
      <c r="T28" s="108">
        <v>377993</v>
      </c>
      <c r="U28" s="108">
        <v>377993</v>
      </c>
      <c r="V28" s="77">
        <v>3.906</v>
      </c>
      <c r="W28" s="76">
        <f>'Школы-средняя'!S28</f>
        <v>1</v>
      </c>
      <c r="X28" s="81">
        <v>0.908</v>
      </c>
      <c r="Y28" s="54">
        <f t="shared" si="0"/>
        <v>3341.5</v>
      </c>
      <c r="Z28" s="54">
        <f t="shared" si="1"/>
        <v>115.2</v>
      </c>
      <c r="AA28" s="54">
        <f t="shared" si="2"/>
        <v>230.4</v>
      </c>
      <c r="AB28" s="54">
        <f t="shared" si="3"/>
        <v>0</v>
      </c>
      <c r="AC28" s="54">
        <f t="shared" si="4"/>
        <v>0</v>
      </c>
      <c r="AD28" s="54">
        <f t="shared" si="5"/>
        <v>0</v>
      </c>
      <c r="AE28" s="54">
        <f t="shared" si="6"/>
        <v>0</v>
      </c>
      <c r="AF28" s="54">
        <f t="shared" si="7"/>
        <v>0</v>
      </c>
      <c r="AG28" s="54">
        <f t="shared" si="8"/>
        <v>0</v>
      </c>
      <c r="AH28" s="54">
        <f t="shared" si="9"/>
        <v>3687.1</v>
      </c>
      <c r="AI28" s="68"/>
      <c r="AJ28" s="68"/>
    </row>
    <row r="29" spans="1:36" s="41" customFormat="1" ht="15" customHeight="1">
      <c r="A29" s="35">
        <v>22</v>
      </c>
      <c r="B29" s="36" t="s">
        <v>19</v>
      </c>
      <c r="C29" s="79">
        <v>5</v>
      </c>
      <c r="D29" s="66">
        <v>118</v>
      </c>
      <c r="E29" s="66"/>
      <c r="F29" s="66">
        <v>2</v>
      </c>
      <c r="G29" s="66"/>
      <c r="H29" s="66"/>
      <c r="I29" s="37"/>
      <c r="J29" s="37"/>
      <c r="K29" s="66"/>
      <c r="L29" s="66"/>
      <c r="M29" s="108">
        <v>32488</v>
      </c>
      <c r="N29" s="108">
        <v>32488</v>
      </c>
      <c r="O29" s="108">
        <v>32488</v>
      </c>
      <c r="P29" s="108">
        <v>35734</v>
      </c>
      <c r="Q29" s="108">
        <v>35734</v>
      </c>
      <c r="R29" s="108">
        <v>377993</v>
      </c>
      <c r="S29" s="108">
        <v>377993</v>
      </c>
      <c r="T29" s="108">
        <v>377993</v>
      </c>
      <c r="U29" s="108">
        <v>377993</v>
      </c>
      <c r="V29" s="77">
        <v>1.25</v>
      </c>
      <c r="W29" s="76">
        <f>'Школы-средняя'!S29</f>
        <v>1</v>
      </c>
      <c r="X29" s="81">
        <v>0.969</v>
      </c>
      <c r="Y29" s="54">
        <f t="shared" si="0"/>
        <v>4643.4</v>
      </c>
      <c r="Z29" s="54">
        <f t="shared" si="1"/>
        <v>0</v>
      </c>
      <c r="AA29" s="54">
        <f t="shared" si="2"/>
        <v>78.7</v>
      </c>
      <c r="AB29" s="54">
        <f t="shared" si="3"/>
        <v>0</v>
      </c>
      <c r="AC29" s="54">
        <f t="shared" si="4"/>
        <v>0</v>
      </c>
      <c r="AD29" s="54">
        <f t="shared" si="5"/>
        <v>0</v>
      </c>
      <c r="AE29" s="54">
        <f t="shared" si="6"/>
        <v>0</v>
      </c>
      <c r="AF29" s="54">
        <f t="shared" si="7"/>
        <v>0</v>
      </c>
      <c r="AG29" s="54">
        <f t="shared" si="8"/>
        <v>0</v>
      </c>
      <c r="AH29" s="54">
        <f t="shared" si="9"/>
        <v>4722.099999999999</v>
      </c>
      <c r="AI29" s="68"/>
      <c r="AJ29" s="68"/>
    </row>
    <row r="30" spans="1:36" s="41" customFormat="1" ht="18.75" customHeight="1">
      <c r="A30" s="44">
        <v>23</v>
      </c>
      <c r="B30" s="36" t="s">
        <v>20</v>
      </c>
      <c r="C30" s="79">
        <v>6</v>
      </c>
      <c r="D30" s="66">
        <v>38</v>
      </c>
      <c r="E30" s="37">
        <v>2</v>
      </c>
      <c r="F30" s="66"/>
      <c r="G30" s="66"/>
      <c r="H30" s="37">
        <v>3</v>
      </c>
      <c r="I30" s="37"/>
      <c r="J30" s="37"/>
      <c r="K30" s="37"/>
      <c r="L30" s="37"/>
      <c r="M30" s="108">
        <v>35550</v>
      </c>
      <c r="N30" s="108">
        <v>35550</v>
      </c>
      <c r="O30" s="108">
        <v>35550</v>
      </c>
      <c r="P30" s="108">
        <v>39559</v>
      </c>
      <c r="Q30" s="108">
        <v>39559</v>
      </c>
      <c r="R30" s="108">
        <v>377993</v>
      </c>
      <c r="S30" s="108">
        <v>377993</v>
      </c>
      <c r="T30" s="108">
        <v>377993</v>
      </c>
      <c r="U30" s="108">
        <v>377993</v>
      </c>
      <c r="V30" s="77">
        <v>2.907</v>
      </c>
      <c r="W30" s="76">
        <f>'Школы-средняя'!S30</f>
        <v>1</v>
      </c>
      <c r="X30" s="81">
        <v>0.942</v>
      </c>
      <c r="Y30" s="54">
        <f t="shared" si="0"/>
        <v>3699.3</v>
      </c>
      <c r="Z30" s="54">
        <f t="shared" si="1"/>
        <v>194.7</v>
      </c>
      <c r="AA30" s="54">
        <f t="shared" si="2"/>
        <v>0</v>
      </c>
      <c r="AB30" s="54">
        <f t="shared" si="3"/>
        <v>0</v>
      </c>
      <c r="AC30" s="54">
        <f t="shared" si="4"/>
        <v>325</v>
      </c>
      <c r="AD30" s="54">
        <f t="shared" si="5"/>
        <v>0</v>
      </c>
      <c r="AE30" s="54">
        <f t="shared" si="6"/>
        <v>0</v>
      </c>
      <c r="AF30" s="54">
        <f t="shared" si="7"/>
        <v>0</v>
      </c>
      <c r="AG30" s="54">
        <f t="shared" si="8"/>
        <v>0</v>
      </c>
      <c r="AH30" s="54">
        <f t="shared" si="9"/>
        <v>4219</v>
      </c>
      <c r="AI30" s="68"/>
      <c r="AJ30" s="68"/>
    </row>
    <row r="31" spans="1:36" s="41" customFormat="1" ht="15.75">
      <c r="A31" s="35">
        <v>24</v>
      </c>
      <c r="B31" s="36" t="s">
        <v>21</v>
      </c>
      <c r="C31" s="79">
        <v>5</v>
      </c>
      <c r="D31" s="66">
        <v>25</v>
      </c>
      <c r="E31" s="37"/>
      <c r="F31" s="66"/>
      <c r="G31" s="66">
        <v>1</v>
      </c>
      <c r="H31" s="66"/>
      <c r="I31" s="37"/>
      <c r="J31" s="37"/>
      <c r="K31" s="66"/>
      <c r="L31" s="37"/>
      <c r="M31" s="108">
        <v>32488</v>
      </c>
      <c r="N31" s="108">
        <v>32488</v>
      </c>
      <c r="O31" s="108">
        <v>32488</v>
      </c>
      <c r="P31" s="108">
        <v>35734</v>
      </c>
      <c r="Q31" s="108">
        <v>35734</v>
      </c>
      <c r="R31" s="108">
        <v>377993</v>
      </c>
      <c r="S31" s="108">
        <v>377993</v>
      </c>
      <c r="T31" s="108">
        <v>377993</v>
      </c>
      <c r="U31" s="108">
        <v>377993</v>
      </c>
      <c r="V31" s="77">
        <v>4.808</v>
      </c>
      <c r="W31" s="76">
        <f>'Школы-средняя'!S31</f>
        <v>1</v>
      </c>
      <c r="X31" s="81">
        <v>0.919</v>
      </c>
      <c r="Y31" s="54">
        <f t="shared" si="0"/>
        <v>3588.7</v>
      </c>
      <c r="Z31" s="54">
        <f t="shared" si="1"/>
        <v>0</v>
      </c>
      <c r="AA31" s="54">
        <f t="shared" si="2"/>
        <v>0</v>
      </c>
      <c r="AB31" s="54">
        <f t="shared" si="3"/>
        <v>157.9</v>
      </c>
      <c r="AC31" s="54">
        <f t="shared" si="4"/>
        <v>0</v>
      </c>
      <c r="AD31" s="54">
        <f t="shared" si="5"/>
        <v>0</v>
      </c>
      <c r="AE31" s="54">
        <f t="shared" si="6"/>
        <v>0</v>
      </c>
      <c r="AF31" s="54">
        <f t="shared" si="7"/>
        <v>0</v>
      </c>
      <c r="AG31" s="54">
        <f t="shared" si="8"/>
        <v>0</v>
      </c>
      <c r="AH31" s="54">
        <f t="shared" si="9"/>
        <v>3746.6</v>
      </c>
      <c r="AI31" s="68"/>
      <c r="AJ31" s="68"/>
    </row>
    <row r="32" spans="1:36" s="41" customFormat="1" ht="15.75">
      <c r="A32" s="44">
        <v>25</v>
      </c>
      <c r="B32" s="36" t="s">
        <v>22</v>
      </c>
      <c r="C32" s="79">
        <v>6</v>
      </c>
      <c r="D32" s="66">
        <v>27</v>
      </c>
      <c r="E32" s="37"/>
      <c r="F32" s="66"/>
      <c r="G32" s="66"/>
      <c r="H32" s="66"/>
      <c r="I32" s="37"/>
      <c r="J32" s="37"/>
      <c r="K32" s="66"/>
      <c r="L32" s="66"/>
      <c r="M32" s="108">
        <v>35550</v>
      </c>
      <c r="N32" s="108">
        <v>35550</v>
      </c>
      <c r="O32" s="108">
        <v>35550</v>
      </c>
      <c r="P32" s="108">
        <v>39559</v>
      </c>
      <c r="Q32" s="108">
        <v>39559</v>
      </c>
      <c r="R32" s="108">
        <v>377993</v>
      </c>
      <c r="S32" s="108">
        <v>377993</v>
      </c>
      <c r="T32" s="108">
        <v>377993</v>
      </c>
      <c r="U32" s="108">
        <v>377993</v>
      </c>
      <c r="V32" s="77">
        <v>4.63</v>
      </c>
      <c r="W32" s="76">
        <f>'Школы-средняя'!S32</f>
        <v>1</v>
      </c>
      <c r="X32" s="81">
        <v>0.978</v>
      </c>
      <c r="Y32" s="54">
        <f t="shared" si="0"/>
        <v>4346.3</v>
      </c>
      <c r="Z32" s="54">
        <f t="shared" si="1"/>
        <v>0</v>
      </c>
      <c r="AA32" s="54">
        <f t="shared" si="2"/>
        <v>0</v>
      </c>
      <c r="AB32" s="54">
        <f t="shared" si="3"/>
        <v>0</v>
      </c>
      <c r="AC32" s="54">
        <f t="shared" si="4"/>
        <v>0</v>
      </c>
      <c r="AD32" s="54">
        <f t="shared" si="5"/>
        <v>0</v>
      </c>
      <c r="AE32" s="54">
        <f t="shared" si="6"/>
        <v>0</v>
      </c>
      <c r="AF32" s="54">
        <f t="shared" si="7"/>
        <v>0</v>
      </c>
      <c r="AG32" s="54">
        <f t="shared" si="8"/>
        <v>0</v>
      </c>
      <c r="AH32" s="54">
        <f t="shared" si="9"/>
        <v>4346.3</v>
      </c>
      <c r="AI32" s="68"/>
      <c r="AJ32" s="68"/>
    </row>
    <row r="33" spans="1:36" s="41" customFormat="1" ht="15.75">
      <c r="A33" s="35">
        <v>26</v>
      </c>
      <c r="B33" s="36" t="s">
        <v>23</v>
      </c>
      <c r="C33" s="79">
        <v>5</v>
      </c>
      <c r="D33" s="114">
        <v>61</v>
      </c>
      <c r="E33" s="115">
        <v>1</v>
      </c>
      <c r="F33" s="37"/>
      <c r="G33" s="37"/>
      <c r="H33" s="37"/>
      <c r="I33" s="37">
        <v>1</v>
      </c>
      <c r="J33" s="37"/>
      <c r="K33" s="37"/>
      <c r="L33" s="37"/>
      <c r="M33" s="108">
        <v>32488</v>
      </c>
      <c r="N33" s="108">
        <v>32488</v>
      </c>
      <c r="O33" s="108">
        <v>32488</v>
      </c>
      <c r="P33" s="108">
        <v>35734</v>
      </c>
      <c r="Q33" s="108">
        <v>35734</v>
      </c>
      <c r="R33" s="108">
        <v>377993</v>
      </c>
      <c r="S33" s="108">
        <v>377993</v>
      </c>
      <c r="T33" s="108">
        <v>377993</v>
      </c>
      <c r="U33" s="108">
        <v>377993</v>
      </c>
      <c r="V33" s="77">
        <v>2.016</v>
      </c>
      <c r="W33" s="76">
        <f>'Школы-средняя'!S33</f>
        <v>1</v>
      </c>
      <c r="X33" s="81">
        <v>0.766</v>
      </c>
      <c r="Y33" s="54">
        <f t="shared" si="0"/>
        <v>3060.4</v>
      </c>
      <c r="Z33" s="54">
        <f t="shared" si="1"/>
        <v>50.2</v>
      </c>
      <c r="AA33" s="54">
        <f t="shared" si="2"/>
        <v>0</v>
      </c>
      <c r="AB33" s="54">
        <f t="shared" si="3"/>
        <v>0</v>
      </c>
      <c r="AC33" s="54">
        <f t="shared" si="4"/>
        <v>0</v>
      </c>
      <c r="AD33" s="54">
        <f t="shared" si="5"/>
        <v>583.7</v>
      </c>
      <c r="AE33" s="54">
        <f t="shared" si="6"/>
        <v>0</v>
      </c>
      <c r="AF33" s="54">
        <f t="shared" si="7"/>
        <v>0</v>
      </c>
      <c r="AG33" s="54">
        <f t="shared" si="8"/>
        <v>0</v>
      </c>
      <c r="AH33" s="54">
        <f t="shared" si="9"/>
        <v>3694.3</v>
      </c>
      <c r="AI33" s="68"/>
      <c r="AJ33" s="68"/>
    </row>
    <row r="34" spans="1:36" s="41" customFormat="1" ht="24" customHeight="1">
      <c r="A34" s="44">
        <v>27</v>
      </c>
      <c r="B34" s="36" t="s">
        <v>24</v>
      </c>
      <c r="C34" s="79">
        <v>5</v>
      </c>
      <c r="D34" s="66">
        <v>50</v>
      </c>
      <c r="E34" s="37">
        <v>1</v>
      </c>
      <c r="F34" s="37"/>
      <c r="G34" s="37"/>
      <c r="H34" s="37"/>
      <c r="I34" s="37"/>
      <c r="J34" s="37">
        <v>1</v>
      </c>
      <c r="K34" s="37"/>
      <c r="L34" s="37"/>
      <c r="M34" s="108">
        <v>32488</v>
      </c>
      <c r="N34" s="108">
        <v>32488</v>
      </c>
      <c r="O34" s="108">
        <v>32488</v>
      </c>
      <c r="P34" s="108">
        <v>35734</v>
      </c>
      <c r="Q34" s="108">
        <v>35734</v>
      </c>
      <c r="R34" s="108">
        <v>377993</v>
      </c>
      <c r="S34" s="108">
        <v>377993</v>
      </c>
      <c r="T34" s="108">
        <v>377993</v>
      </c>
      <c r="U34" s="108">
        <v>377993</v>
      </c>
      <c r="V34" s="77">
        <v>2.451</v>
      </c>
      <c r="W34" s="76">
        <f>'Школы-средняя'!S34</f>
        <v>1</v>
      </c>
      <c r="X34" s="81">
        <v>0.863</v>
      </c>
      <c r="Y34" s="54">
        <f t="shared" si="0"/>
        <v>3436</v>
      </c>
      <c r="Z34" s="54">
        <f t="shared" si="1"/>
        <v>68.7</v>
      </c>
      <c r="AA34" s="54">
        <f t="shared" si="2"/>
        <v>0</v>
      </c>
      <c r="AB34" s="54">
        <f t="shared" si="3"/>
        <v>0</v>
      </c>
      <c r="AC34" s="54">
        <f t="shared" si="4"/>
        <v>0</v>
      </c>
      <c r="AD34" s="54">
        <f t="shared" si="5"/>
        <v>0</v>
      </c>
      <c r="AE34" s="54">
        <f t="shared" si="6"/>
        <v>799.5</v>
      </c>
      <c r="AF34" s="54">
        <f t="shared" si="7"/>
        <v>0</v>
      </c>
      <c r="AG34" s="54">
        <f t="shared" si="8"/>
        <v>0</v>
      </c>
      <c r="AH34" s="54">
        <f t="shared" si="9"/>
        <v>4304.2</v>
      </c>
      <c r="AI34" s="68"/>
      <c r="AJ34" s="68"/>
    </row>
    <row r="35" spans="1:36" s="41" customFormat="1" ht="18" customHeight="1">
      <c r="A35" s="35">
        <v>28</v>
      </c>
      <c r="B35" s="36" t="s">
        <v>25</v>
      </c>
      <c r="C35" s="79">
        <v>5</v>
      </c>
      <c r="D35" s="66">
        <v>26</v>
      </c>
      <c r="E35" s="37">
        <v>2</v>
      </c>
      <c r="F35" s="37"/>
      <c r="G35" s="37"/>
      <c r="H35" s="37">
        <v>4</v>
      </c>
      <c r="I35" s="37"/>
      <c r="J35" s="37"/>
      <c r="K35" s="37"/>
      <c r="L35" s="37"/>
      <c r="M35" s="108">
        <v>32488</v>
      </c>
      <c r="N35" s="108">
        <v>32488</v>
      </c>
      <c r="O35" s="108">
        <v>32488</v>
      </c>
      <c r="P35" s="108">
        <v>35734</v>
      </c>
      <c r="Q35" s="108">
        <v>35734</v>
      </c>
      <c r="R35" s="108">
        <v>377993</v>
      </c>
      <c r="S35" s="108">
        <v>377993</v>
      </c>
      <c r="T35" s="108">
        <v>377993</v>
      </c>
      <c r="U35" s="108">
        <v>377993</v>
      </c>
      <c r="V35" s="77">
        <v>3.906</v>
      </c>
      <c r="W35" s="76">
        <f>'Школы-средняя'!S35</f>
        <v>1</v>
      </c>
      <c r="X35" s="81">
        <v>0.849</v>
      </c>
      <c r="Y35" s="54">
        <f t="shared" si="0"/>
        <v>2801.1</v>
      </c>
      <c r="Z35" s="54">
        <f t="shared" si="1"/>
        <v>215.5</v>
      </c>
      <c r="AA35" s="54">
        <f t="shared" si="2"/>
        <v>0</v>
      </c>
      <c r="AB35" s="54">
        <f t="shared" si="3"/>
        <v>0</v>
      </c>
      <c r="AC35" s="54">
        <f t="shared" si="4"/>
        <v>474</v>
      </c>
      <c r="AD35" s="54">
        <f t="shared" si="5"/>
        <v>0</v>
      </c>
      <c r="AE35" s="54">
        <f t="shared" si="6"/>
        <v>0</v>
      </c>
      <c r="AF35" s="54">
        <f t="shared" si="7"/>
        <v>0</v>
      </c>
      <c r="AG35" s="54">
        <f t="shared" si="8"/>
        <v>0</v>
      </c>
      <c r="AH35" s="54">
        <f t="shared" si="9"/>
        <v>3490.6</v>
      </c>
      <c r="AI35" s="68"/>
      <c r="AJ35" s="68"/>
    </row>
    <row r="36" spans="1:36" s="41" customFormat="1" ht="18.75" customHeight="1">
      <c r="A36" s="44">
        <v>29</v>
      </c>
      <c r="B36" s="36" t="s">
        <v>26</v>
      </c>
      <c r="C36" s="79">
        <v>6</v>
      </c>
      <c r="D36" s="66">
        <v>42</v>
      </c>
      <c r="E36" s="37"/>
      <c r="F36" s="37"/>
      <c r="G36" s="37"/>
      <c r="H36" s="37"/>
      <c r="I36" s="37"/>
      <c r="J36" s="37"/>
      <c r="K36" s="37"/>
      <c r="L36" s="37"/>
      <c r="M36" s="108">
        <v>35550</v>
      </c>
      <c r="N36" s="108">
        <v>35550</v>
      </c>
      <c r="O36" s="108">
        <v>35550</v>
      </c>
      <c r="P36" s="108">
        <v>39559</v>
      </c>
      <c r="Q36" s="108">
        <v>39559</v>
      </c>
      <c r="R36" s="108">
        <v>377993</v>
      </c>
      <c r="S36" s="108">
        <v>377993</v>
      </c>
      <c r="T36" s="108">
        <v>377993</v>
      </c>
      <c r="U36" s="108">
        <v>377993</v>
      </c>
      <c r="V36" s="77">
        <v>2.976</v>
      </c>
      <c r="W36" s="76">
        <f>'Школы-средняя'!S36</f>
        <v>1</v>
      </c>
      <c r="X36" s="81">
        <v>0.96</v>
      </c>
      <c r="Y36" s="54">
        <f t="shared" si="0"/>
        <v>4265.7</v>
      </c>
      <c r="Z36" s="54">
        <f t="shared" si="1"/>
        <v>0</v>
      </c>
      <c r="AA36" s="54">
        <f t="shared" si="2"/>
        <v>0</v>
      </c>
      <c r="AB36" s="54">
        <f t="shared" si="3"/>
        <v>0</v>
      </c>
      <c r="AC36" s="54">
        <f t="shared" si="4"/>
        <v>0</v>
      </c>
      <c r="AD36" s="54">
        <f t="shared" si="5"/>
        <v>0</v>
      </c>
      <c r="AE36" s="54">
        <f t="shared" si="6"/>
        <v>0</v>
      </c>
      <c r="AF36" s="54">
        <f t="shared" si="7"/>
        <v>0</v>
      </c>
      <c r="AG36" s="54">
        <f t="shared" si="8"/>
        <v>0</v>
      </c>
      <c r="AH36" s="54">
        <f t="shared" si="9"/>
        <v>4265.7</v>
      </c>
      <c r="AI36" s="68"/>
      <c r="AJ36" s="68"/>
    </row>
    <row r="37" spans="1:36" s="41" customFormat="1" ht="32.25" customHeight="1">
      <c r="A37" s="35">
        <v>30</v>
      </c>
      <c r="B37" s="36" t="s">
        <v>27</v>
      </c>
      <c r="C37" s="79">
        <v>6</v>
      </c>
      <c r="D37" s="66">
        <v>23</v>
      </c>
      <c r="E37" s="37"/>
      <c r="F37" s="37"/>
      <c r="G37" s="37"/>
      <c r="H37" s="37"/>
      <c r="I37" s="37"/>
      <c r="J37" s="37"/>
      <c r="K37" s="37"/>
      <c r="L37" s="37"/>
      <c r="M37" s="108">
        <v>35550</v>
      </c>
      <c r="N37" s="108">
        <v>35550</v>
      </c>
      <c r="O37" s="108">
        <v>35550</v>
      </c>
      <c r="P37" s="108">
        <v>39559</v>
      </c>
      <c r="Q37" s="108">
        <v>39559</v>
      </c>
      <c r="R37" s="108">
        <v>377993</v>
      </c>
      <c r="S37" s="108">
        <v>377993</v>
      </c>
      <c r="T37" s="108">
        <v>377993</v>
      </c>
      <c r="U37" s="108">
        <v>377993</v>
      </c>
      <c r="V37" s="77">
        <v>5.435</v>
      </c>
      <c r="W37" s="76">
        <f>'Школы-средняя'!S37</f>
        <v>1</v>
      </c>
      <c r="X37" s="81">
        <v>0.947</v>
      </c>
      <c r="Y37" s="54">
        <f t="shared" si="0"/>
        <v>4208.4</v>
      </c>
      <c r="Z37" s="54">
        <f t="shared" si="1"/>
        <v>0</v>
      </c>
      <c r="AA37" s="54">
        <f t="shared" si="2"/>
        <v>0</v>
      </c>
      <c r="AB37" s="54">
        <f t="shared" si="3"/>
        <v>0</v>
      </c>
      <c r="AC37" s="54">
        <f t="shared" si="4"/>
        <v>0</v>
      </c>
      <c r="AD37" s="54">
        <f t="shared" si="5"/>
        <v>0</v>
      </c>
      <c r="AE37" s="54">
        <f t="shared" si="6"/>
        <v>0</v>
      </c>
      <c r="AF37" s="54">
        <f t="shared" si="7"/>
        <v>0</v>
      </c>
      <c r="AG37" s="54">
        <f t="shared" si="8"/>
        <v>0</v>
      </c>
      <c r="AH37" s="54">
        <f t="shared" si="9"/>
        <v>4208.4</v>
      </c>
      <c r="AI37" s="68"/>
      <c r="AJ37" s="68"/>
    </row>
    <row r="38" spans="1:36" s="41" customFormat="1" ht="15.75">
      <c r="A38" s="44">
        <v>31</v>
      </c>
      <c r="B38" s="36" t="s">
        <v>28</v>
      </c>
      <c r="C38" s="79">
        <v>5</v>
      </c>
      <c r="D38" s="66">
        <v>46</v>
      </c>
      <c r="E38" s="66"/>
      <c r="F38" s="66"/>
      <c r="G38" s="66"/>
      <c r="H38" s="66"/>
      <c r="I38" s="66"/>
      <c r="J38" s="37"/>
      <c r="K38" s="66"/>
      <c r="L38" s="37"/>
      <c r="M38" s="108">
        <v>32488</v>
      </c>
      <c r="N38" s="108">
        <v>32488</v>
      </c>
      <c r="O38" s="108">
        <v>32488</v>
      </c>
      <c r="P38" s="108">
        <v>35734</v>
      </c>
      <c r="Q38" s="108">
        <v>35734</v>
      </c>
      <c r="R38" s="108">
        <v>377993</v>
      </c>
      <c r="S38" s="108">
        <v>377993</v>
      </c>
      <c r="T38" s="108">
        <v>377993</v>
      </c>
      <c r="U38" s="108">
        <v>377993</v>
      </c>
      <c r="V38" s="77">
        <v>2.717</v>
      </c>
      <c r="W38" s="76">
        <f>'Школы-средняя'!S38</f>
        <v>1.024</v>
      </c>
      <c r="X38" s="81">
        <v>1</v>
      </c>
      <c r="Y38" s="54">
        <f t="shared" si="0"/>
        <v>4157.9</v>
      </c>
      <c r="Z38" s="54">
        <f t="shared" si="1"/>
        <v>0</v>
      </c>
      <c r="AA38" s="54">
        <f t="shared" si="2"/>
        <v>0</v>
      </c>
      <c r="AB38" s="54">
        <f t="shared" si="3"/>
        <v>0</v>
      </c>
      <c r="AC38" s="54">
        <f t="shared" si="4"/>
        <v>0</v>
      </c>
      <c r="AD38" s="54">
        <f t="shared" si="5"/>
        <v>0</v>
      </c>
      <c r="AE38" s="54">
        <f t="shared" si="6"/>
        <v>0</v>
      </c>
      <c r="AF38" s="54">
        <f t="shared" si="7"/>
        <v>0</v>
      </c>
      <c r="AG38" s="54">
        <f t="shared" si="8"/>
        <v>0</v>
      </c>
      <c r="AH38" s="54">
        <f t="shared" si="9"/>
        <v>4157.9</v>
      </c>
      <c r="AI38" s="68"/>
      <c r="AJ38" s="68"/>
    </row>
    <row r="39" spans="1:36" s="41" customFormat="1" ht="20.25" customHeight="1">
      <c r="A39" s="35">
        <v>32</v>
      </c>
      <c r="B39" s="36" t="s">
        <v>29</v>
      </c>
      <c r="C39" s="79">
        <v>5</v>
      </c>
      <c r="D39" s="66">
        <v>33</v>
      </c>
      <c r="E39" s="66"/>
      <c r="F39" s="66"/>
      <c r="G39" s="66"/>
      <c r="H39" s="66"/>
      <c r="I39" s="66"/>
      <c r="J39" s="37"/>
      <c r="K39" s="66">
        <v>1</v>
      </c>
      <c r="L39" s="37"/>
      <c r="M39" s="108">
        <v>32488</v>
      </c>
      <c r="N39" s="108">
        <v>32488</v>
      </c>
      <c r="O39" s="108">
        <v>32488</v>
      </c>
      <c r="P39" s="108">
        <v>35734</v>
      </c>
      <c r="Q39" s="108">
        <v>35734</v>
      </c>
      <c r="R39" s="108">
        <v>377993</v>
      </c>
      <c r="S39" s="108">
        <v>377993</v>
      </c>
      <c r="T39" s="108">
        <v>377993</v>
      </c>
      <c r="U39" s="108">
        <v>377993</v>
      </c>
      <c r="V39" s="77">
        <v>3.788</v>
      </c>
      <c r="W39" s="76">
        <f>'Школы-средняя'!S39</f>
        <v>1</v>
      </c>
      <c r="X39" s="81">
        <v>0.785</v>
      </c>
      <c r="Y39" s="54">
        <f t="shared" si="0"/>
        <v>3188</v>
      </c>
      <c r="Z39" s="54">
        <f t="shared" si="1"/>
        <v>0</v>
      </c>
      <c r="AA39" s="54">
        <f t="shared" si="2"/>
        <v>0</v>
      </c>
      <c r="AB39" s="54">
        <f t="shared" si="3"/>
        <v>0</v>
      </c>
      <c r="AC39" s="54">
        <f t="shared" si="4"/>
        <v>0</v>
      </c>
      <c r="AD39" s="54">
        <f t="shared" si="5"/>
        <v>0</v>
      </c>
      <c r="AE39" s="54">
        <f t="shared" si="6"/>
        <v>0</v>
      </c>
      <c r="AF39" s="54">
        <f t="shared" si="7"/>
        <v>1124</v>
      </c>
      <c r="AG39" s="54">
        <f t="shared" si="8"/>
        <v>0</v>
      </c>
      <c r="AH39" s="54">
        <f t="shared" si="9"/>
        <v>4312</v>
      </c>
      <c r="AI39" s="68"/>
      <c r="AJ39" s="68"/>
    </row>
    <row r="40" spans="1:36" s="41" customFormat="1" ht="18" customHeight="1">
      <c r="A40" s="44">
        <v>33</v>
      </c>
      <c r="B40" s="36" t="s">
        <v>30</v>
      </c>
      <c r="C40" s="79">
        <v>6</v>
      </c>
      <c r="D40" s="66">
        <v>22</v>
      </c>
      <c r="E40" s="66"/>
      <c r="F40" s="66"/>
      <c r="G40" s="66"/>
      <c r="H40" s="66"/>
      <c r="I40" s="66"/>
      <c r="J40" s="37"/>
      <c r="K40" s="66">
        <v>1</v>
      </c>
      <c r="L40" s="66"/>
      <c r="M40" s="108">
        <v>35550</v>
      </c>
      <c r="N40" s="108">
        <v>35550</v>
      </c>
      <c r="O40" s="108">
        <v>35550</v>
      </c>
      <c r="P40" s="108">
        <v>39559</v>
      </c>
      <c r="Q40" s="108">
        <v>39559</v>
      </c>
      <c r="R40" s="108">
        <v>377993</v>
      </c>
      <c r="S40" s="108">
        <v>377993</v>
      </c>
      <c r="T40" s="108">
        <v>377993</v>
      </c>
      <c r="U40" s="108">
        <v>377993</v>
      </c>
      <c r="V40" s="77">
        <v>5.682</v>
      </c>
      <c r="W40" s="76">
        <f>'Школы-средняя'!S40</f>
        <v>1</v>
      </c>
      <c r="X40" s="81">
        <v>0.683</v>
      </c>
      <c r="Y40" s="54">
        <f t="shared" si="0"/>
        <v>3035.2</v>
      </c>
      <c r="Z40" s="54">
        <f t="shared" si="1"/>
        <v>0</v>
      </c>
      <c r="AA40" s="54">
        <f t="shared" si="2"/>
        <v>0</v>
      </c>
      <c r="AB40" s="54">
        <f t="shared" si="3"/>
        <v>0</v>
      </c>
      <c r="AC40" s="54">
        <f t="shared" si="4"/>
        <v>0</v>
      </c>
      <c r="AD40" s="54">
        <f t="shared" si="5"/>
        <v>0</v>
      </c>
      <c r="AE40" s="54">
        <f t="shared" si="6"/>
        <v>0</v>
      </c>
      <c r="AF40" s="54">
        <f t="shared" si="7"/>
        <v>1466.9</v>
      </c>
      <c r="AG40" s="54">
        <f t="shared" si="8"/>
        <v>0</v>
      </c>
      <c r="AH40" s="54">
        <f t="shared" si="9"/>
        <v>4502.1</v>
      </c>
      <c r="AI40" s="68"/>
      <c r="AJ40" s="68"/>
    </row>
    <row r="41" spans="1:36" s="41" customFormat="1" ht="15.75">
      <c r="A41" s="35">
        <v>34</v>
      </c>
      <c r="B41" s="36" t="s">
        <v>31</v>
      </c>
      <c r="C41" s="79">
        <v>5</v>
      </c>
      <c r="D41" s="66">
        <v>105</v>
      </c>
      <c r="E41" s="37">
        <v>1</v>
      </c>
      <c r="F41" s="37"/>
      <c r="G41" s="37"/>
      <c r="H41" s="37">
        <v>2</v>
      </c>
      <c r="I41" s="37">
        <v>1</v>
      </c>
      <c r="J41" s="37"/>
      <c r="K41" s="37"/>
      <c r="L41" s="37"/>
      <c r="M41" s="108">
        <v>32488</v>
      </c>
      <c r="N41" s="108">
        <v>32488</v>
      </c>
      <c r="O41" s="108">
        <v>32488</v>
      </c>
      <c r="P41" s="108">
        <v>35734</v>
      </c>
      <c r="Q41" s="108">
        <v>35734</v>
      </c>
      <c r="R41" s="108">
        <v>377993</v>
      </c>
      <c r="S41" s="108">
        <v>377993</v>
      </c>
      <c r="T41" s="108">
        <v>377993</v>
      </c>
      <c r="U41" s="108">
        <v>377993</v>
      </c>
      <c r="V41" s="77">
        <v>1.389</v>
      </c>
      <c r="W41" s="76">
        <f>'Школы-средняя'!S41</f>
        <v>1.024</v>
      </c>
      <c r="X41" s="81">
        <v>1.05</v>
      </c>
      <c r="Y41" s="54">
        <f t="shared" si="0"/>
        <v>5094.5</v>
      </c>
      <c r="Z41" s="54">
        <f t="shared" si="1"/>
        <v>48.5</v>
      </c>
      <c r="AA41" s="54">
        <f t="shared" si="2"/>
        <v>0</v>
      </c>
      <c r="AB41" s="54">
        <f t="shared" si="3"/>
        <v>0</v>
      </c>
      <c r="AC41" s="54">
        <f t="shared" si="4"/>
        <v>106.7</v>
      </c>
      <c r="AD41" s="54">
        <f t="shared" si="5"/>
        <v>564.5</v>
      </c>
      <c r="AE41" s="54">
        <f t="shared" si="6"/>
        <v>0</v>
      </c>
      <c r="AF41" s="54">
        <f t="shared" si="7"/>
        <v>0</v>
      </c>
      <c r="AG41" s="54">
        <f t="shared" si="8"/>
        <v>0</v>
      </c>
      <c r="AH41" s="54">
        <f t="shared" si="9"/>
        <v>5814.2</v>
      </c>
      <c r="AI41" s="68"/>
      <c r="AJ41" s="68"/>
    </row>
    <row r="42" spans="1:36" s="41" customFormat="1" ht="22.5" customHeight="1">
      <c r="A42" s="44">
        <v>35</v>
      </c>
      <c r="B42" s="36" t="s">
        <v>32</v>
      </c>
      <c r="C42" s="79">
        <v>5</v>
      </c>
      <c r="D42" s="66">
        <v>98</v>
      </c>
      <c r="E42" s="37">
        <v>1</v>
      </c>
      <c r="F42" s="37"/>
      <c r="G42" s="37">
        <v>1</v>
      </c>
      <c r="H42" s="37">
        <v>4</v>
      </c>
      <c r="I42" s="37"/>
      <c r="J42" s="37"/>
      <c r="K42" s="37">
        <v>1</v>
      </c>
      <c r="L42" s="37"/>
      <c r="M42" s="108">
        <v>32488</v>
      </c>
      <c r="N42" s="108">
        <v>32488</v>
      </c>
      <c r="O42" s="108">
        <v>32488</v>
      </c>
      <c r="P42" s="108">
        <v>35734</v>
      </c>
      <c r="Q42" s="108">
        <v>35734</v>
      </c>
      <c r="R42" s="108">
        <v>377993</v>
      </c>
      <c r="S42" s="108">
        <v>377993</v>
      </c>
      <c r="T42" s="108">
        <v>377993</v>
      </c>
      <c r="U42" s="108">
        <v>377993</v>
      </c>
      <c r="V42" s="77">
        <v>1.202</v>
      </c>
      <c r="W42" s="76">
        <f>'Школы-средняя'!S42</f>
        <v>1.164</v>
      </c>
      <c r="X42" s="81">
        <v>1</v>
      </c>
      <c r="Y42" s="54">
        <f t="shared" si="0"/>
        <v>4454.6</v>
      </c>
      <c r="Z42" s="54">
        <f t="shared" si="1"/>
        <v>45.5</v>
      </c>
      <c r="AA42" s="54">
        <f t="shared" si="2"/>
        <v>0</v>
      </c>
      <c r="AB42" s="54">
        <f t="shared" si="3"/>
        <v>50</v>
      </c>
      <c r="AC42" s="54">
        <f t="shared" si="4"/>
        <v>200</v>
      </c>
      <c r="AD42" s="54">
        <f t="shared" si="5"/>
        <v>0</v>
      </c>
      <c r="AE42" s="54">
        <f t="shared" si="6"/>
        <v>0</v>
      </c>
      <c r="AF42" s="54">
        <f t="shared" si="7"/>
        <v>528.9</v>
      </c>
      <c r="AG42" s="54">
        <f t="shared" si="8"/>
        <v>0</v>
      </c>
      <c r="AH42" s="54">
        <f t="shared" si="9"/>
        <v>5279</v>
      </c>
      <c r="AI42" s="68"/>
      <c r="AJ42" s="68"/>
    </row>
    <row r="43" spans="1:36" s="41" customFormat="1" ht="21.75" customHeight="1">
      <c r="A43" s="35">
        <v>36</v>
      </c>
      <c r="B43" s="36" t="s">
        <v>33</v>
      </c>
      <c r="C43" s="79">
        <v>5</v>
      </c>
      <c r="D43" s="66">
        <v>88</v>
      </c>
      <c r="E43" s="37"/>
      <c r="F43" s="37"/>
      <c r="G43" s="66"/>
      <c r="H43" s="66">
        <v>7</v>
      </c>
      <c r="I43" s="37"/>
      <c r="J43" s="37"/>
      <c r="K43" s="66"/>
      <c r="L43" s="37">
        <v>1</v>
      </c>
      <c r="M43" s="108">
        <v>32488</v>
      </c>
      <c r="N43" s="108">
        <v>32488</v>
      </c>
      <c r="O43" s="108">
        <v>32488</v>
      </c>
      <c r="P43" s="108">
        <v>35734</v>
      </c>
      <c r="Q43" s="108">
        <v>35734</v>
      </c>
      <c r="R43" s="108">
        <v>377993</v>
      </c>
      <c r="S43" s="108">
        <v>377993</v>
      </c>
      <c r="T43" s="108">
        <v>377993</v>
      </c>
      <c r="U43" s="108">
        <v>377993</v>
      </c>
      <c r="V43" s="77">
        <v>1.316</v>
      </c>
      <c r="W43" s="76">
        <f>'Школы-средняя'!S43</f>
        <v>1</v>
      </c>
      <c r="X43" s="81">
        <v>0.956</v>
      </c>
      <c r="Y43" s="54">
        <f t="shared" si="0"/>
        <v>3596.8</v>
      </c>
      <c r="Z43" s="54">
        <f t="shared" si="1"/>
        <v>0</v>
      </c>
      <c r="AA43" s="54">
        <f t="shared" si="2"/>
        <v>0</v>
      </c>
      <c r="AB43" s="54">
        <f t="shared" si="3"/>
        <v>0</v>
      </c>
      <c r="AC43" s="54">
        <f t="shared" si="4"/>
        <v>314.7</v>
      </c>
      <c r="AD43" s="54">
        <f t="shared" si="5"/>
        <v>0</v>
      </c>
      <c r="AE43" s="54">
        <f t="shared" si="6"/>
        <v>0</v>
      </c>
      <c r="AF43" s="54">
        <f t="shared" si="7"/>
        <v>0</v>
      </c>
      <c r="AG43" s="54">
        <f t="shared" si="8"/>
        <v>475.6</v>
      </c>
      <c r="AH43" s="54">
        <f t="shared" si="9"/>
        <v>4387.1</v>
      </c>
      <c r="AI43" s="68"/>
      <c r="AJ43" s="68"/>
    </row>
    <row r="44" spans="1:36" s="41" customFormat="1" ht="21" customHeight="1">
      <c r="A44" s="44">
        <v>37</v>
      </c>
      <c r="B44" s="36" t="s">
        <v>34</v>
      </c>
      <c r="C44" s="79">
        <v>6</v>
      </c>
      <c r="D44" s="66">
        <v>51</v>
      </c>
      <c r="E44" s="37"/>
      <c r="F44" s="37"/>
      <c r="G44" s="66"/>
      <c r="H44" s="66"/>
      <c r="I44" s="37"/>
      <c r="J44" s="37"/>
      <c r="K44" s="66"/>
      <c r="L44" s="37"/>
      <c r="M44" s="108">
        <v>35550</v>
      </c>
      <c r="N44" s="108">
        <v>35550</v>
      </c>
      <c r="O44" s="108">
        <v>35550</v>
      </c>
      <c r="P44" s="108">
        <v>39559</v>
      </c>
      <c r="Q44" s="108">
        <v>39559</v>
      </c>
      <c r="R44" s="108">
        <v>377993</v>
      </c>
      <c r="S44" s="108">
        <v>377993</v>
      </c>
      <c r="T44" s="108">
        <v>377993</v>
      </c>
      <c r="U44" s="108">
        <v>377993</v>
      </c>
      <c r="V44" s="77">
        <v>2.451</v>
      </c>
      <c r="W44" s="76">
        <f>'Школы-средняя'!S44</f>
        <v>1</v>
      </c>
      <c r="X44" s="81">
        <v>0.864</v>
      </c>
      <c r="Y44" s="54">
        <f t="shared" si="0"/>
        <v>3839.4</v>
      </c>
      <c r="Z44" s="54">
        <f t="shared" si="1"/>
        <v>0</v>
      </c>
      <c r="AA44" s="54">
        <f t="shared" si="2"/>
        <v>0</v>
      </c>
      <c r="AB44" s="54">
        <f t="shared" si="3"/>
        <v>0</v>
      </c>
      <c r="AC44" s="54">
        <f t="shared" si="4"/>
        <v>0</v>
      </c>
      <c r="AD44" s="54">
        <f t="shared" si="5"/>
        <v>0</v>
      </c>
      <c r="AE44" s="54">
        <f t="shared" si="6"/>
        <v>0</v>
      </c>
      <c r="AF44" s="54">
        <f t="shared" si="7"/>
        <v>0</v>
      </c>
      <c r="AG44" s="54">
        <f t="shared" si="8"/>
        <v>0</v>
      </c>
      <c r="AH44" s="54">
        <f t="shared" si="9"/>
        <v>3839.4</v>
      </c>
      <c r="AI44" s="68"/>
      <c r="AJ44" s="68"/>
    </row>
    <row r="45" spans="1:36" s="41" customFormat="1" ht="31.5">
      <c r="A45" s="35">
        <v>38</v>
      </c>
      <c r="B45" s="36" t="s">
        <v>35</v>
      </c>
      <c r="C45" s="79">
        <v>5</v>
      </c>
      <c r="D45" s="111">
        <v>23</v>
      </c>
      <c r="E45" s="66"/>
      <c r="F45" s="66"/>
      <c r="G45" s="66"/>
      <c r="H45" s="66"/>
      <c r="I45" s="66"/>
      <c r="J45" s="37"/>
      <c r="K45" s="66"/>
      <c r="L45" s="37"/>
      <c r="M45" s="108">
        <v>32488</v>
      </c>
      <c r="N45" s="108">
        <v>32488</v>
      </c>
      <c r="O45" s="108">
        <v>32488</v>
      </c>
      <c r="P45" s="108">
        <v>35734</v>
      </c>
      <c r="Q45" s="108">
        <v>35734</v>
      </c>
      <c r="R45" s="108">
        <v>377993</v>
      </c>
      <c r="S45" s="108">
        <v>377993</v>
      </c>
      <c r="T45" s="108">
        <v>377993</v>
      </c>
      <c r="U45" s="108">
        <v>377993</v>
      </c>
      <c r="V45" s="77">
        <v>4.348</v>
      </c>
      <c r="W45" s="76">
        <f>'Школы-средняя'!S45</f>
        <v>1</v>
      </c>
      <c r="X45" s="81">
        <v>0.993</v>
      </c>
      <c r="Y45" s="54">
        <f t="shared" si="0"/>
        <v>3226.2</v>
      </c>
      <c r="Z45" s="54">
        <f t="shared" si="1"/>
        <v>0</v>
      </c>
      <c r="AA45" s="54">
        <f t="shared" si="2"/>
        <v>0</v>
      </c>
      <c r="AB45" s="54">
        <f t="shared" si="3"/>
        <v>0</v>
      </c>
      <c r="AC45" s="54">
        <f t="shared" si="4"/>
        <v>0</v>
      </c>
      <c r="AD45" s="54">
        <f t="shared" si="5"/>
        <v>0</v>
      </c>
      <c r="AE45" s="54">
        <f t="shared" si="6"/>
        <v>0</v>
      </c>
      <c r="AF45" s="54">
        <f t="shared" si="7"/>
        <v>0</v>
      </c>
      <c r="AG45" s="54">
        <f t="shared" si="8"/>
        <v>0</v>
      </c>
      <c r="AH45" s="54">
        <f t="shared" si="9"/>
        <v>3226.2</v>
      </c>
      <c r="AI45" s="68"/>
      <c r="AJ45" s="68"/>
    </row>
    <row r="46" spans="1:36" s="41" customFormat="1" ht="16.5" thickBot="1">
      <c r="A46" s="44">
        <v>39</v>
      </c>
      <c r="B46" s="49" t="s">
        <v>36</v>
      </c>
      <c r="C46" s="79">
        <v>5</v>
      </c>
      <c r="D46" s="112">
        <v>27</v>
      </c>
      <c r="E46" s="66">
        <v>1</v>
      </c>
      <c r="F46" s="66"/>
      <c r="G46" s="66"/>
      <c r="H46" s="66"/>
      <c r="I46" s="66"/>
      <c r="J46" s="37"/>
      <c r="K46" s="66"/>
      <c r="L46" s="37"/>
      <c r="M46" s="108">
        <v>32488</v>
      </c>
      <c r="N46" s="108">
        <v>32488</v>
      </c>
      <c r="O46" s="108">
        <v>32488</v>
      </c>
      <c r="P46" s="108">
        <v>35734</v>
      </c>
      <c r="Q46" s="108">
        <v>35734</v>
      </c>
      <c r="R46" s="108">
        <v>377993</v>
      </c>
      <c r="S46" s="108">
        <v>377993</v>
      </c>
      <c r="T46" s="108">
        <v>377993</v>
      </c>
      <c r="U46" s="108">
        <v>377993</v>
      </c>
      <c r="V46" s="77">
        <v>4.464</v>
      </c>
      <c r="W46" s="76">
        <f>'Школы-средняя'!S46</f>
        <v>1</v>
      </c>
      <c r="X46" s="81">
        <v>0.881</v>
      </c>
      <c r="Y46" s="54">
        <f t="shared" si="0"/>
        <v>3449.7</v>
      </c>
      <c r="Z46" s="54">
        <f t="shared" si="1"/>
        <v>127.8</v>
      </c>
      <c r="AA46" s="54">
        <f t="shared" si="2"/>
        <v>0</v>
      </c>
      <c r="AB46" s="54">
        <f t="shared" si="3"/>
        <v>0</v>
      </c>
      <c r="AC46" s="54">
        <f t="shared" si="4"/>
        <v>0</v>
      </c>
      <c r="AD46" s="54">
        <f t="shared" si="5"/>
        <v>0</v>
      </c>
      <c r="AE46" s="54">
        <f t="shared" si="6"/>
        <v>0</v>
      </c>
      <c r="AF46" s="54">
        <f t="shared" si="7"/>
        <v>0</v>
      </c>
      <c r="AG46" s="54">
        <f t="shared" si="8"/>
        <v>0</v>
      </c>
      <c r="AH46" s="54">
        <f t="shared" si="9"/>
        <v>3577.5</v>
      </c>
      <c r="AI46" s="68"/>
      <c r="AJ46" s="68"/>
    </row>
    <row r="47" spans="1:36" s="41" customFormat="1" ht="48" thickBot="1">
      <c r="A47" s="50"/>
      <c r="B47" s="80" t="s">
        <v>77</v>
      </c>
      <c r="C47" s="51"/>
      <c r="D47" s="52">
        <f>SUM(D8:D46)</f>
        <v>4372</v>
      </c>
      <c r="E47" s="52">
        <f aca="true" t="shared" si="10" ref="E47:L47">SUM(E8:E46)</f>
        <v>30</v>
      </c>
      <c r="F47" s="52">
        <f t="shared" si="10"/>
        <v>11</v>
      </c>
      <c r="G47" s="52">
        <f t="shared" si="10"/>
        <v>3</v>
      </c>
      <c r="H47" s="52">
        <f t="shared" si="10"/>
        <v>51</v>
      </c>
      <c r="I47" s="52">
        <f t="shared" si="10"/>
        <v>10</v>
      </c>
      <c r="J47" s="52">
        <f t="shared" si="10"/>
        <v>8</v>
      </c>
      <c r="K47" s="52">
        <f t="shared" si="10"/>
        <v>18</v>
      </c>
      <c r="L47" s="52">
        <f t="shared" si="10"/>
        <v>16</v>
      </c>
      <c r="M47" s="52"/>
      <c r="N47" s="52"/>
      <c r="O47" s="52"/>
      <c r="P47" s="52"/>
      <c r="Q47" s="52"/>
      <c r="R47" s="52"/>
      <c r="S47" s="52"/>
      <c r="T47" s="52"/>
      <c r="U47" s="53"/>
      <c r="V47" s="75"/>
      <c r="W47" s="75"/>
      <c r="X47" s="75"/>
      <c r="Y47" s="54">
        <f>SUM(Y8:Y46)</f>
        <v>199899.1</v>
      </c>
      <c r="Z47" s="54">
        <f aca="true" t="shared" si="11" ref="Z47:AH47">SUM(Z8:Z46)</f>
        <v>1550.8</v>
      </c>
      <c r="AA47" s="54">
        <f t="shared" si="11"/>
        <v>549.5</v>
      </c>
      <c r="AB47" s="54">
        <f t="shared" si="11"/>
        <v>243.9</v>
      </c>
      <c r="AC47" s="54">
        <f t="shared" si="11"/>
        <v>2985.9999999999995</v>
      </c>
      <c r="AD47" s="54">
        <f t="shared" si="11"/>
        <v>4030.3</v>
      </c>
      <c r="AE47" s="54">
        <f t="shared" si="11"/>
        <v>3379.1</v>
      </c>
      <c r="AF47" s="54">
        <f t="shared" si="11"/>
        <v>9899.8</v>
      </c>
      <c r="AG47" s="54">
        <f t="shared" si="11"/>
        <v>6332.1</v>
      </c>
      <c r="AH47" s="54">
        <f t="shared" si="11"/>
        <v>228870.60000000003</v>
      </c>
      <c r="AI47" s="72"/>
      <c r="AJ47" s="72"/>
    </row>
    <row r="48" spans="1:36" s="6" customFormat="1" ht="18" customHeight="1">
      <c r="A48" s="9"/>
      <c r="B48" s="10"/>
      <c r="C48" s="10"/>
      <c r="D48" s="10">
        <f>SUM(D47:L47)</f>
        <v>4519</v>
      </c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AH48" s="55">
        <f>SUM(Y47:AG47)</f>
        <v>228870.59999999998</v>
      </c>
      <c r="AI48" s="67"/>
      <c r="AJ48" s="67"/>
    </row>
    <row r="49" spans="1:36" s="6" customFormat="1" ht="15.7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AI49" s="67"/>
      <c r="AJ49" s="67"/>
    </row>
    <row r="50" spans="1:36" s="6" customFormat="1" ht="15.75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H50" s="61">
        <v>228734.4</v>
      </c>
      <c r="AI50" s="67"/>
      <c r="AJ50" s="67"/>
    </row>
    <row r="51" spans="1:36" s="6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I51" s="67"/>
      <c r="AJ51" s="67"/>
    </row>
    <row r="52" spans="1:36" s="6" customFormat="1" ht="15.7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AI52" s="67"/>
      <c r="AJ52" s="67"/>
    </row>
    <row r="53" spans="1:36" s="6" customFormat="1" ht="15.75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I53" s="67"/>
      <c r="AJ53" s="67"/>
    </row>
    <row r="54" spans="1:36" s="6" customFormat="1" ht="15.75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I54" s="67"/>
      <c r="AJ54" s="67"/>
    </row>
    <row r="55" spans="1:36" s="6" customFormat="1" ht="16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I55" s="67"/>
      <c r="AJ55" s="67"/>
    </row>
    <row r="56" spans="1:36" s="6" customFormat="1" ht="15.7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I56" s="67"/>
      <c r="AJ56" s="67"/>
    </row>
    <row r="57" spans="1:36" s="6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AI57" s="67"/>
      <c r="AJ57" s="67"/>
    </row>
    <row r="58" spans="1:36" s="6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AI58" s="67"/>
      <c r="AJ58" s="67"/>
    </row>
    <row r="59" spans="1:36" s="6" customFormat="1" ht="15.7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I59" s="67"/>
      <c r="AJ59" s="67"/>
    </row>
    <row r="60" spans="1:36" s="6" customFormat="1" ht="15.7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AI60" s="67"/>
      <c r="AJ60" s="67"/>
    </row>
    <row r="61" spans="1:36" s="6" customFormat="1" ht="15.75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AI61" s="67"/>
      <c r="AJ61" s="67"/>
    </row>
    <row r="62" spans="1:36" s="18" customFormat="1" ht="16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AI62" s="69"/>
      <c r="AJ62" s="69"/>
    </row>
    <row r="63" spans="1:24" ht="15.75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.75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8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.75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.7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.7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.7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5.7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.7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5.7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5.7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5.7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5.7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5.7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.7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5.7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.7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5.75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5.7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5.7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5.75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5.7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5.7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8.75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5.75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</sheetData>
  <sheetProtection/>
  <mergeCells count="18">
    <mergeCell ref="A62:L62"/>
    <mergeCell ref="D4:L4"/>
    <mergeCell ref="M5:U5"/>
    <mergeCell ref="A3:A7"/>
    <mergeCell ref="B3:B5"/>
    <mergeCell ref="C3:C7"/>
    <mergeCell ref="B6:B7"/>
    <mergeCell ref="D3:L3"/>
    <mergeCell ref="V3:V7"/>
    <mergeCell ref="X3:X7"/>
    <mergeCell ref="M3:U4"/>
    <mergeCell ref="AI5:AI7"/>
    <mergeCell ref="AI4:AJ4"/>
    <mergeCell ref="AJ5:AJ7"/>
    <mergeCell ref="Y5:AG5"/>
    <mergeCell ref="AH5:AH7"/>
    <mergeCell ref="Y3:AH4"/>
    <mergeCell ref="W3:W7"/>
  </mergeCells>
  <printOptions horizontalCentered="1"/>
  <pageMargins left="0.1968503937007874" right="0" top="0.5905511811023623" bottom="0" header="0" footer="0"/>
  <pageSetup horizontalDpi="600" verticalDpi="600" orientation="landscape" paperSize="9" scale="40" r:id="rId1"/>
  <rowBreaks count="1" manualBreakCount="1">
    <brk id="47" max="255" man="1"/>
  </rowBreaks>
  <colBreaks count="1" manualBreakCount="1">
    <brk id="16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9"/>
  <sheetViews>
    <sheetView tabSelected="1" view="pageBreakPreview" zoomScale="69" zoomScaleNormal="74" zoomScaleSheetLayoutView="69" zoomScalePageLayoutView="0" workbookViewId="0" topLeftCell="A1">
      <pane xSplit="2" ySplit="7" topLeftCell="S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0" sqref="G30"/>
    </sheetView>
  </sheetViews>
  <sheetFormatPr defaultColWidth="9.140625" defaultRowHeight="12.75"/>
  <cols>
    <col min="1" max="1" width="9.00390625" style="4" customWidth="1"/>
    <col min="2" max="2" width="24.00390625" style="4" customWidth="1"/>
    <col min="3" max="3" width="13.00390625" style="4" customWidth="1"/>
    <col min="4" max="4" width="22.28125" style="5" customWidth="1"/>
    <col min="5" max="5" width="24.140625" style="5" customWidth="1"/>
    <col min="6" max="7" width="17.7109375" style="5" customWidth="1"/>
    <col min="8" max="8" width="19.421875" style="5" customWidth="1"/>
    <col min="9" max="10" width="18.28125" style="5" customWidth="1"/>
    <col min="11" max="20" width="29.7109375" style="5" customWidth="1"/>
    <col min="21" max="21" width="17.57421875" style="19" customWidth="1"/>
    <col min="22" max="23" width="18.00390625" style="19" customWidth="1"/>
    <col min="24" max="24" width="14.140625" style="19" customWidth="1"/>
    <col min="25" max="25" width="14.57421875" style="19" customWidth="1"/>
    <col min="26" max="26" width="12.421875" style="19" customWidth="1"/>
    <col min="27" max="27" width="13.7109375" style="19" customWidth="1"/>
    <col min="28" max="28" width="15.00390625" style="19" customWidth="1"/>
    <col min="29" max="29" width="16.140625" style="70" customWidth="1"/>
    <col min="30" max="30" width="23.57421875" style="70" customWidth="1"/>
    <col min="31" max="16384" width="9.140625" style="19" customWidth="1"/>
  </cols>
  <sheetData>
    <row r="1" spans="1:30" s="6" customFormat="1" ht="18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90</v>
      </c>
      <c r="N1" s="104"/>
      <c r="O1" s="104"/>
      <c r="P1" s="104"/>
      <c r="Q1" s="104"/>
      <c r="R1" s="96"/>
      <c r="S1" s="96"/>
      <c r="T1" s="96"/>
      <c r="AC1" s="67"/>
      <c r="AD1" s="67"/>
    </row>
    <row r="2" spans="1:30" s="6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C2" s="67"/>
      <c r="AD2" s="67"/>
    </row>
    <row r="3" spans="1:30" s="83" customFormat="1" ht="38.25" customHeight="1">
      <c r="A3" s="156" t="s">
        <v>81</v>
      </c>
      <c r="B3" s="137" t="s">
        <v>74</v>
      </c>
      <c r="C3" s="137" t="s">
        <v>75</v>
      </c>
      <c r="D3" s="148" t="s">
        <v>76</v>
      </c>
      <c r="E3" s="149"/>
      <c r="F3" s="149"/>
      <c r="G3" s="149"/>
      <c r="H3" s="149"/>
      <c r="I3" s="149"/>
      <c r="J3" s="149"/>
      <c r="K3" s="140" t="s">
        <v>70</v>
      </c>
      <c r="L3" s="140"/>
      <c r="M3" s="140"/>
      <c r="N3" s="140"/>
      <c r="O3" s="140"/>
      <c r="P3" s="140"/>
      <c r="Q3" s="140"/>
      <c r="R3" s="140" t="s">
        <v>78</v>
      </c>
      <c r="S3" s="140" t="s">
        <v>88</v>
      </c>
      <c r="T3" s="140" t="s">
        <v>79</v>
      </c>
      <c r="U3" s="142" t="s">
        <v>80</v>
      </c>
      <c r="V3" s="143"/>
      <c r="W3" s="143"/>
      <c r="X3" s="143"/>
      <c r="Y3" s="143"/>
      <c r="Z3" s="143"/>
      <c r="AA3" s="143"/>
      <c r="AB3" s="144"/>
      <c r="AC3" s="82"/>
      <c r="AD3" s="82"/>
    </row>
    <row r="4" spans="1:30" s="83" customFormat="1" ht="47.25" customHeight="1">
      <c r="A4" s="157"/>
      <c r="B4" s="138"/>
      <c r="C4" s="138"/>
      <c r="D4" s="148" t="s">
        <v>40</v>
      </c>
      <c r="E4" s="149"/>
      <c r="F4" s="149"/>
      <c r="G4" s="149"/>
      <c r="H4" s="149"/>
      <c r="I4" s="149"/>
      <c r="J4" s="149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5"/>
      <c r="V4" s="146"/>
      <c r="W4" s="146"/>
      <c r="X4" s="146"/>
      <c r="Y4" s="146"/>
      <c r="Z4" s="146"/>
      <c r="AA4" s="146"/>
      <c r="AB4" s="147"/>
      <c r="AC4" s="151"/>
      <c r="AD4" s="151"/>
    </row>
    <row r="5" spans="1:30" s="83" customFormat="1" ht="65.25" customHeight="1">
      <c r="A5" s="157"/>
      <c r="B5" s="138"/>
      <c r="C5" s="138"/>
      <c r="D5" s="100" t="s">
        <v>53</v>
      </c>
      <c r="E5" s="100" t="s">
        <v>57</v>
      </c>
      <c r="F5" s="100" t="s">
        <v>57</v>
      </c>
      <c r="G5" s="100" t="s">
        <v>53</v>
      </c>
      <c r="H5" s="100" t="s">
        <v>53</v>
      </c>
      <c r="I5" s="100" t="s">
        <v>53</v>
      </c>
      <c r="J5" s="100" t="s">
        <v>41</v>
      </c>
      <c r="K5" s="148" t="s">
        <v>40</v>
      </c>
      <c r="L5" s="149"/>
      <c r="M5" s="149"/>
      <c r="N5" s="149"/>
      <c r="O5" s="149"/>
      <c r="P5" s="149"/>
      <c r="Q5" s="149"/>
      <c r="R5" s="140"/>
      <c r="S5" s="140"/>
      <c r="T5" s="140"/>
      <c r="U5" s="141" t="s">
        <v>40</v>
      </c>
      <c r="V5" s="141"/>
      <c r="W5" s="141"/>
      <c r="X5" s="141"/>
      <c r="Y5" s="141"/>
      <c r="Z5" s="141"/>
      <c r="AA5" s="141"/>
      <c r="AB5" s="152" t="s">
        <v>62</v>
      </c>
      <c r="AC5" s="151"/>
      <c r="AD5" s="151"/>
    </row>
    <row r="6" spans="1:30" s="83" customFormat="1" ht="93" customHeight="1">
      <c r="A6" s="157"/>
      <c r="B6" s="152" t="s">
        <v>73</v>
      </c>
      <c r="C6" s="138"/>
      <c r="D6" s="100" t="s">
        <v>43</v>
      </c>
      <c r="E6" s="100" t="s">
        <v>43</v>
      </c>
      <c r="F6" s="100" t="s">
        <v>42</v>
      </c>
      <c r="G6" s="100" t="s">
        <v>42</v>
      </c>
      <c r="H6" s="100" t="s">
        <v>58</v>
      </c>
      <c r="I6" s="100" t="s">
        <v>56</v>
      </c>
      <c r="J6" s="100" t="s">
        <v>58</v>
      </c>
      <c r="K6" s="100" t="s">
        <v>53</v>
      </c>
      <c r="L6" s="100" t="s">
        <v>63</v>
      </c>
      <c r="M6" s="100" t="s">
        <v>57</v>
      </c>
      <c r="N6" s="100" t="s">
        <v>53</v>
      </c>
      <c r="O6" s="100" t="s">
        <v>53</v>
      </c>
      <c r="P6" s="100" t="s">
        <v>53</v>
      </c>
      <c r="Q6" s="100" t="s">
        <v>41</v>
      </c>
      <c r="R6" s="140"/>
      <c r="S6" s="140"/>
      <c r="T6" s="140"/>
      <c r="U6" s="100" t="s">
        <v>53</v>
      </c>
      <c r="V6" s="100" t="s">
        <v>63</v>
      </c>
      <c r="W6" s="100" t="s">
        <v>57</v>
      </c>
      <c r="X6" s="100" t="s">
        <v>53</v>
      </c>
      <c r="Y6" s="100" t="s">
        <v>53</v>
      </c>
      <c r="Z6" s="100" t="s">
        <v>53</v>
      </c>
      <c r="AA6" s="100" t="s">
        <v>41</v>
      </c>
      <c r="AB6" s="152"/>
      <c r="AC6" s="151"/>
      <c r="AD6" s="151"/>
    </row>
    <row r="7" spans="1:30" s="83" customFormat="1" ht="88.5" customHeight="1">
      <c r="A7" s="158"/>
      <c r="B7" s="152"/>
      <c r="C7" s="139"/>
      <c r="D7" s="102" t="s">
        <v>72</v>
      </c>
      <c r="E7" s="102" t="s">
        <v>72</v>
      </c>
      <c r="F7" s="102" t="s">
        <v>72</v>
      </c>
      <c r="G7" s="102" t="s">
        <v>72</v>
      </c>
      <c r="H7" s="102" t="s">
        <v>72</v>
      </c>
      <c r="I7" s="102" t="s">
        <v>72</v>
      </c>
      <c r="J7" s="102" t="s">
        <v>72</v>
      </c>
      <c r="K7" s="102" t="s">
        <v>43</v>
      </c>
      <c r="L7" s="102" t="s">
        <v>43</v>
      </c>
      <c r="M7" s="100" t="s">
        <v>42</v>
      </c>
      <c r="N7" s="100" t="s">
        <v>42</v>
      </c>
      <c r="O7" s="100" t="s">
        <v>58</v>
      </c>
      <c r="P7" s="100" t="s">
        <v>56</v>
      </c>
      <c r="Q7" s="100" t="s">
        <v>58</v>
      </c>
      <c r="R7" s="140"/>
      <c r="S7" s="140"/>
      <c r="T7" s="140"/>
      <c r="U7" s="102" t="s">
        <v>43</v>
      </c>
      <c r="V7" s="102" t="s">
        <v>43</v>
      </c>
      <c r="W7" s="100" t="s">
        <v>42</v>
      </c>
      <c r="X7" s="100" t="s">
        <v>42</v>
      </c>
      <c r="Y7" s="100" t="s">
        <v>58</v>
      </c>
      <c r="Z7" s="100" t="s">
        <v>56</v>
      </c>
      <c r="AA7" s="100" t="s">
        <v>58</v>
      </c>
      <c r="AB7" s="152"/>
      <c r="AC7" s="151"/>
      <c r="AD7" s="151"/>
    </row>
    <row r="8" spans="1:30" s="41" customFormat="1" ht="15.75">
      <c r="A8" s="44">
        <v>1</v>
      </c>
      <c r="B8" s="45" t="s">
        <v>0</v>
      </c>
      <c r="C8" s="79">
        <v>5</v>
      </c>
      <c r="D8" s="40">
        <v>7</v>
      </c>
      <c r="E8" s="40">
        <v>9</v>
      </c>
      <c r="F8" s="40"/>
      <c r="G8" s="40"/>
      <c r="H8" s="40"/>
      <c r="I8" s="40"/>
      <c r="J8" s="40"/>
      <c r="K8" s="107">
        <v>23167</v>
      </c>
      <c r="L8" s="111">
        <v>28818</v>
      </c>
      <c r="M8" s="111">
        <v>28818</v>
      </c>
      <c r="N8" s="107">
        <v>23167</v>
      </c>
      <c r="O8" s="107">
        <v>345314</v>
      </c>
      <c r="P8" s="107">
        <v>345314</v>
      </c>
      <c r="Q8" s="107">
        <v>345314</v>
      </c>
      <c r="R8" s="76">
        <v>3.125</v>
      </c>
      <c r="S8" s="76">
        <v>1</v>
      </c>
      <c r="T8" s="81">
        <v>0.984</v>
      </c>
      <c r="U8" s="54">
        <f>ROUND(K8*D8*R8*T8/1000*S8,1)</f>
        <v>498.7</v>
      </c>
      <c r="V8" s="54">
        <f>ROUND(K8*E8*R8*T8/1000*S8,1)</f>
        <v>641.1</v>
      </c>
      <c r="W8" s="54">
        <f>ROUND(M8*F8*R8*T8/1000*S8,1)</f>
        <v>0</v>
      </c>
      <c r="X8" s="54">
        <f>ROUND(N8*G8*R8*T8/1000*S8,1)</f>
        <v>0</v>
      </c>
      <c r="Y8" s="54">
        <f>ROUND(O8*H8*T8*R8/1000*S8,1)</f>
        <v>0</v>
      </c>
      <c r="Z8" s="54">
        <f>ROUND(P8*I8*T8*R8/1000*S8,1)</f>
        <v>0</v>
      </c>
      <c r="AA8" s="54">
        <f>ROUND(Q8*J8*T8*R8/1000*S8,1)</f>
        <v>0</v>
      </c>
      <c r="AB8" s="54">
        <f>SUM(U8:AA8)</f>
        <v>1139.8</v>
      </c>
      <c r="AC8" s="68"/>
      <c r="AD8" s="68"/>
    </row>
    <row r="9" spans="1:30" s="41" customFormat="1" ht="15.75">
      <c r="A9" s="35">
        <v>2</v>
      </c>
      <c r="B9" s="45" t="s">
        <v>60</v>
      </c>
      <c r="C9" s="79">
        <v>6</v>
      </c>
      <c r="D9" s="37">
        <v>41</v>
      </c>
      <c r="E9" s="37">
        <v>38</v>
      </c>
      <c r="F9" s="37">
        <v>1</v>
      </c>
      <c r="G9" s="37"/>
      <c r="H9" s="37"/>
      <c r="I9" s="37">
        <v>1</v>
      </c>
      <c r="J9" s="37"/>
      <c r="K9" s="107">
        <v>25251</v>
      </c>
      <c r="L9" s="111">
        <v>31410</v>
      </c>
      <c r="M9" s="111">
        <v>31410</v>
      </c>
      <c r="N9" s="107">
        <v>25251</v>
      </c>
      <c r="O9" s="107">
        <v>345314</v>
      </c>
      <c r="P9" s="107">
        <v>345314</v>
      </c>
      <c r="Q9" s="107">
        <v>345314</v>
      </c>
      <c r="R9" s="76">
        <v>1.25</v>
      </c>
      <c r="S9" s="76">
        <v>1.06</v>
      </c>
      <c r="T9" s="81">
        <v>1</v>
      </c>
      <c r="U9" s="54">
        <f aca="true" t="shared" si="0" ref="U9:U46">ROUND(K9*D9*R9*T9/1000*S9,1)</f>
        <v>1371.8</v>
      </c>
      <c r="V9" s="54">
        <f aca="true" t="shared" si="1" ref="V9:V46">ROUND(K9*E9*R9*T9/1000*S9,1)</f>
        <v>1271.4</v>
      </c>
      <c r="W9" s="54">
        <f aca="true" t="shared" si="2" ref="W9:W46">ROUND(M9*F9*R9*T9/1000*S9,1)</f>
        <v>41.6</v>
      </c>
      <c r="X9" s="54">
        <f aca="true" t="shared" si="3" ref="X9:X46">ROUND(N9*G9*R9*T9/1000*S9,1)</f>
        <v>0</v>
      </c>
      <c r="Y9" s="54">
        <f aca="true" t="shared" si="4" ref="Y9:Y46">ROUND(O9*H9*T9*R9/1000*S9,1)</f>
        <v>0</v>
      </c>
      <c r="Z9" s="54">
        <f aca="true" t="shared" si="5" ref="Z9:Z46">ROUND(P9*I9*T9*R9/1000*S9,1)</f>
        <v>457.5</v>
      </c>
      <c r="AA9" s="54">
        <f aca="true" t="shared" si="6" ref="AA9:AA46">ROUND(Q9*J9*T9*R9/1000*S9,1)</f>
        <v>0</v>
      </c>
      <c r="AB9" s="54">
        <f aca="true" t="shared" si="7" ref="AB9:AB46">SUM(U9:AA9)</f>
        <v>3142.2999999999997</v>
      </c>
      <c r="AC9" s="68"/>
      <c r="AD9" s="68"/>
    </row>
    <row r="10" spans="1:30" s="41" customFormat="1" ht="15.75">
      <c r="A10" s="35">
        <v>3</v>
      </c>
      <c r="B10" s="45" t="s">
        <v>1</v>
      </c>
      <c r="C10" s="79">
        <v>6</v>
      </c>
      <c r="D10" s="37">
        <v>36</v>
      </c>
      <c r="E10" s="37"/>
      <c r="F10" s="37"/>
      <c r="G10" s="37"/>
      <c r="H10" s="37"/>
      <c r="I10" s="37"/>
      <c r="J10" s="37"/>
      <c r="K10" s="107">
        <v>25251</v>
      </c>
      <c r="L10" s="111">
        <v>31410</v>
      </c>
      <c r="M10" s="111">
        <v>31410</v>
      </c>
      <c r="N10" s="107">
        <v>25251</v>
      </c>
      <c r="O10" s="107">
        <v>345314</v>
      </c>
      <c r="P10" s="107">
        <v>345314</v>
      </c>
      <c r="Q10" s="107">
        <v>345314</v>
      </c>
      <c r="R10" s="76">
        <v>1.389</v>
      </c>
      <c r="S10" s="76">
        <v>1</v>
      </c>
      <c r="T10" s="81">
        <v>0.873</v>
      </c>
      <c r="U10" s="54">
        <f t="shared" si="0"/>
        <v>1102.3</v>
      </c>
      <c r="V10" s="54">
        <f t="shared" si="1"/>
        <v>0</v>
      </c>
      <c r="W10" s="54">
        <f t="shared" si="2"/>
        <v>0</v>
      </c>
      <c r="X10" s="54">
        <f t="shared" si="3"/>
        <v>0</v>
      </c>
      <c r="Y10" s="54">
        <f t="shared" si="4"/>
        <v>0</v>
      </c>
      <c r="Z10" s="54">
        <f t="shared" si="5"/>
        <v>0</v>
      </c>
      <c r="AA10" s="54">
        <f t="shared" si="6"/>
        <v>0</v>
      </c>
      <c r="AB10" s="54">
        <f t="shared" si="7"/>
        <v>1102.3</v>
      </c>
      <c r="AC10" s="68"/>
      <c r="AD10" s="68"/>
    </row>
    <row r="11" spans="1:30" s="41" customFormat="1" ht="15.75">
      <c r="A11" s="44">
        <v>4</v>
      </c>
      <c r="B11" s="45" t="s">
        <v>2</v>
      </c>
      <c r="C11" s="79">
        <v>5</v>
      </c>
      <c r="D11" s="71">
        <v>23</v>
      </c>
      <c r="E11" s="71"/>
      <c r="F11" s="71"/>
      <c r="G11" s="71"/>
      <c r="H11" s="71"/>
      <c r="I11" s="71"/>
      <c r="J11" s="71"/>
      <c r="K11" s="107">
        <v>23167</v>
      </c>
      <c r="L11" s="111">
        <v>28818</v>
      </c>
      <c r="M11" s="111">
        <v>28818</v>
      </c>
      <c r="N11" s="107">
        <v>23167</v>
      </c>
      <c r="O11" s="107">
        <v>345314</v>
      </c>
      <c r="P11" s="107">
        <v>345314</v>
      </c>
      <c r="Q11" s="107">
        <v>345314</v>
      </c>
      <c r="R11" s="76">
        <v>2.174</v>
      </c>
      <c r="S11" s="76">
        <v>1</v>
      </c>
      <c r="T11" s="81">
        <v>0.833</v>
      </c>
      <c r="U11" s="54">
        <f t="shared" si="0"/>
        <v>964.9</v>
      </c>
      <c r="V11" s="54">
        <f t="shared" si="1"/>
        <v>0</v>
      </c>
      <c r="W11" s="54">
        <f t="shared" si="2"/>
        <v>0</v>
      </c>
      <c r="X11" s="54">
        <f t="shared" si="3"/>
        <v>0</v>
      </c>
      <c r="Y11" s="54">
        <f t="shared" si="4"/>
        <v>0</v>
      </c>
      <c r="Z11" s="54">
        <f t="shared" si="5"/>
        <v>0</v>
      </c>
      <c r="AA11" s="54">
        <f t="shared" si="6"/>
        <v>0</v>
      </c>
      <c r="AB11" s="54">
        <f t="shared" si="7"/>
        <v>964.9</v>
      </c>
      <c r="AC11" s="68"/>
      <c r="AD11" s="68"/>
    </row>
    <row r="12" spans="1:30" s="41" customFormat="1" ht="15.75">
      <c r="A12" s="35">
        <v>5</v>
      </c>
      <c r="B12" s="45" t="s">
        <v>59</v>
      </c>
      <c r="C12" s="79">
        <v>5</v>
      </c>
      <c r="D12" s="37"/>
      <c r="E12" s="37"/>
      <c r="F12" s="37"/>
      <c r="G12" s="37"/>
      <c r="H12" s="37"/>
      <c r="I12" s="37"/>
      <c r="J12" s="37"/>
      <c r="K12" s="107">
        <v>23167</v>
      </c>
      <c r="L12" s="111">
        <v>28818</v>
      </c>
      <c r="M12" s="111">
        <v>28818</v>
      </c>
      <c r="N12" s="107">
        <v>23167</v>
      </c>
      <c r="O12" s="107">
        <v>345314</v>
      </c>
      <c r="P12" s="107">
        <v>345314</v>
      </c>
      <c r="Q12" s="107">
        <v>345314</v>
      </c>
      <c r="R12" s="76"/>
      <c r="S12" s="76">
        <v>1</v>
      </c>
      <c r="T12" s="81">
        <v>0.963</v>
      </c>
      <c r="U12" s="54">
        <f t="shared" si="0"/>
        <v>0</v>
      </c>
      <c r="V12" s="54">
        <f t="shared" si="1"/>
        <v>0</v>
      </c>
      <c r="W12" s="54">
        <f t="shared" si="2"/>
        <v>0</v>
      </c>
      <c r="X12" s="54">
        <f t="shared" si="3"/>
        <v>0</v>
      </c>
      <c r="Y12" s="54">
        <f t="shared" si="4"/>
        <v>0</v>
      </c>
      <c r="Z12" s="54">
        <f t="shared" si="5"/>
        <v>0</v>
      </c>
      <c r="AA12" s="54">
        <f t="shared" si="6"/>
        <v>0</v>
      </c>
      <c r="AB12" s="54">
        <f t="shared" si="7"/>
        <v>0</v>
      </c>
      <c r="AC12" s="68"/>
      <c r="AD12" s="68"/>
    </row>
    <row r="13" spans="1:30" s="41" customFormat="1" ht="15.75">
      <c r="A13" s="35">
        <v>6</v>
      </c>
      <c r="B13" s="45" t="s">
        <v>3</v>
      </c>
      <c r="C13" s="79">
        <v>5</v>
      </c>
      <c r="D13" s="37">
        <v>36</v>
      </c>
      <c r="E13" s="37"/>
      <c r="F13" s="37"/>
      <c r="G13" s="37"/>
      <c r="H13" s="37">
        <v>1</v>
      </c>
      <c r="I13" s="37">
        <v>1</v>
      </c>
      <c r="J13" s="37">
        <v>1</v>
      </c>
      <c r="K13" s="107">
        <v>23167</v>
      </c>
      <c r="L13" s="111">
        <v>28818</v>
      </c>
      <c r="M13" s="111">
        <v>28818</v>
      </c>
      <c r="N13" s="107">
        <v>23167</v>
      </c>
      <c r="O13" s="107">
        <v>345314</v>
      </c>
      <c r="P13" s="107">
        <v>345314</v>
      </c>
      <c r="Q13" s="107">
        <v>345314</v>
      </c>
      <c r="R13" s="76">
        <v>1.389</v>
      </c>
      <c r="S13" s="76">
        <v>1.079</v>
      </c>
      <c r="T13" s="81">
        <v>1</v>
      </c>
      <c r="U13" s="54">
        <f t="shared" si="0"/>
        <v>1250</v>
      </c>
      <c r="V13" s="54">
        <f t="shared" si="1"/>
        <v>0</v>
      </c>
      <c r="W13" s="54">
        <f t="shared" si="2"/>
        <v>0</v>
      </c>
      <c r="X13" s="54">
        <f t="shared" si="3"/>
        <v>0</v>
      </c>
      <c r="Y13" s="54">
        <f t="shared" si="4"/>
        <v>517.5</v>
      </c>
      <c r="Z13" s="54">
        <f t="shared" si="5"/>
        <v>517.5</v>
      </c>
      <c r="AA13" s="54">
        <f t="shared" si="6"/>
        <v>517.5</v>
      </c>
      <c r="AB13" s="54">
        <f t="shared" si="7"/>
        <v>2802.5</v>
      </c>
      <c r="AC13" s="68"/>
      <c r="AD13" s="68"/>
    </row>
    <row r="14" spans="1:30" s="41" customFormat="1" ht="15.75" customHeight="1">
      <c r="A14" s="44">
        <v>7</v>
      </c>
      <c r="B14" s="45" t="s">
        <v>4</v>
      </c>
      <c r="C14" s="79">
        <v>5</v>
      </c>
      <c r="D14" s="37">
        <v>44</v>
      </c>
      <c r="E14" s="37">
        <v>38</v>
      </c>
      <c r="F14" s="37"/>
      <c r="G14" s="37"/>
      <c r="H14" s="37"/>
      <c r="I14" s="37"/>
      <c r="J14" s="37"/>
      <c r="K14" s="107">
        <v>23167</v>
      </c>
      <c r="L14" s="111">
        <v>28818</v>
      </c>
      <c r="M14" s="111">
        <v>28818</v>
      </c>
      <c r="N14" s="107">
        <v>23167</v>
      </c>
      <c r="O14" s="107">
        <v>345314</v>
      </c>
      <c r="P14" s="107">
        <v>345314</v>
      </c>
      <c r="Q14" s="107">
        <v>345314</v>
      </c>
      <c r="R14" s="76">
        <v>1.22</v>
      </c>
      <c r="S14" s="76">
        <v>1.012</v>
      </c>
      <c r="T14" s="81">
        <v>1</v>
      </c>
      <c r="U14" s="54">
        <f t="shared" si="0"/>
        <v>1258.5</v>
      </c>
      <c r="V14" s="54">
        <f t="shared" si="1"/>
        <v>1086.9</v>
      </c>
      <c r="W14" s="54">
        <f t="shared" si="2"/>
        <v>0</v>
      </c>
      <c r="X14" s="54">
        <f t="shared" si="3"/>
        <v>0</v>
      </c>
      <c r="Y14" s="54">
        <f t="shared" si="4"/>
        <v>0</v>
      </c>
      <c r="Z14" s="54">
        <f t="shared" si="5"/>
        <v>0</v>
      </c>
      <c r="AA14" s="54">
        <f t="shared" si="6"/>
        <v>0</v>
      </c>
      <c r="AB14" s="54">
        <f t="shared" si="7"/>
        <v>2345.4</v>
      </c>
      <c r="AC14" s="68"/>
      <c r="AD14" s="68"/>
    </row>
    <row r="15" spans="1:30" s="48" customFormat="1" ht="15.75">
      <c r="A15" s="35">
        <v>8</v>
      </c>
      <c r="B15" s="47" t="s">
        <v>5</v>
      </c>
      <c r="C15" s="79">
        <v>5</v>
      </c>
      <c r="D15" s="37">
        <v>39</v>
      </c>
      <c r="E15" s="37">
        <v>38</v>
      </c>
      <c r="F15" s="37">
        <v>2</v>
      </c>
      <c r="G15" s="37">
        <v>1</v>
      </c>
      <c r="H15" s="37"/>
      <c r="I15" s="37"/>
      <c r="J15" s="37"/>
      <c r="K15" s="107">
        <v>23167</v>
      </c>
      <c r="L15" s="111">
        <v>28818</v>
      </c>
      <c r="M15" s="111">
        <v>28818</v>
      </c>
      <c r="N15" s="107">
        <v>23167</v>
      </c>
      <c r="O15" s="107">
        <v>345314</v>
      </c>
      <c r="P15" s="107">
        <v>345314</v>
      </c>
      <c r="Q15" s="107">
        <v>345314</v>
      </c>
      <c r="R15" s="76">
        <v>1.25</v>
      </c>
      <c r="S15" s="76">
        <v>1</v>
      </c>
      <c r="T15" s="81">
        <v>0.946</v>
      </c>
      <c r="U15" s="54">
        <f t="shared" si="0"/>
        <v>1068.4</v>
      </c>
      <c r="V15" s="54">
        <f t="shared" si="1"/>
        <v>1041</v>
      </c>
      <c r="W15" s="54">
        <f t="shared" si="2"/>
        <v>68.2</v>
      </c>
      <c r="X15" s="54">
        <f t="shared" si="3"/>
        <v>27.4</v>
      </c>
      <c r="Y15" s="54">
        <f t="shared" si="4"/>
        <v>0</v>
      </c>
      <c r="Z15" s="54">
        <f t="shared" si="5"/>
        <v>0</v>
      </c>
      <c r="AA15" s="54">
        <f t="shared" si="6"/>
        <v>0</v>
      </c>
      <c r="AB15" s="54">
        <f t="shared" si="7"/>
        <v>2205</v>
      </c>
      <c r="AC15" s="68"/>
      <c r="AD15" s="68"/>
    </row>
    <row r="16" spans="1:30" s="41" customFormat="1" ht="15.75">
      <c r="A16" s="35">
        <v>9</v>
      </c>
      <c r="B16" s="45" t="s">
        <v>6</v>
      </c>
      <c r="C16" s="79">
        <v>5</v>
      </c>
      <c r="D16" s="37"/>
      <c r="E16" s="37"/>
      <c r="F16" s="37"/>
      <c r="G16" s="37"/>
      <c r="H16" s="37"/>
      <c r="I16" s="37"/>
      <c r="J16" s="37"/>
      <c r="K16" s="108">
        <v>25993</v>
      </c>
      <c r="L16" s="108">
        <v>33339</v>
      </c>
      <c r="M16" s="108">
        <v>33339</v>
      </c>
      <c r="N16" s="108">
        <v>25993</v>
      </c>
      <c r="O16" s="108">
        <v>397635</v>
      </c>
      <c r="P16" s="108">
        <v>397635</v>
      </c>
      <c r="Q16" s="108">
        <v>397635</v>
      </c>
      <c r="R16" s="77"/>
      <c r="S16" s="76">
        <v>1</v>
      </c>
      <c r="T16" s="81">
        <v>0.809</v>
      </c>
      <c r="U16" s="54">
        <f t="shared" si="0"/>
        <v>0</v>
      </c>
      <c r="V16" s="54">
        <f t="shared" si="1"/>
        <v>0</v>
      </c>
      <c r="W16" s="54">
        <f t="shared" si="2"/>
        <v>0</v>
      </c>
      <c r="X16" s="54">
        <f t="shared" si="3"/>
        <v>0</v>
      </c>
      <c r="Y16" s="54">
        <f t="shared" si="4"/>
        <v>0</v>
      </c>
      <c r="Z16" s="54">
        <f t="shared" si="5"/>
        <v>0</v>
      </c>
      <c r="AA16" s="54">
        <f t="shared" si="6"/>
        <v>0</v>
      </c>
      <c r="AB16" s="54">
        <f t="shared" si="7"/>
        <v>0</v>
      </c>
      <c r="AC16" s="68"/>
      <c r="AD16" s="68"/>
    </row>
    <row r="17" spans="1:30" s="41" customFormat="1" ht="15.75">
      <c r="A17" s="44">
        <v>10</v>
      </c>
      <c r="B17" s="36" t="s">
        <v>7</v>
      </c>
      <c r="C17" s="79">
        <v>5</v>
      </c>
      <c r="D17" s="37">
        <v>6</v>
      </c>
      <c r="E17" s="37">
        <v>3</v>
      </c>
      <c r="F17" s="37"/>
      <c r="G17" s="37"/>
      <c r="H17" s="37"/>
      <c r="I17" s="37"/>
      <c r="J17" s="37"/>
      <c r="K17" s="108">
        <v>25993</v>
      </c>
      <c r="L17" s="108">
        <v>33339</v>
      </c>
      <c r="M17" s="108">
        <v>33339</v>
      </c>
      <c r="N17" s="108">
        <v>25993</v>
      </c>
      <c r="O17" s="108">
        <v>397635</v>
      </c>
      <c r="P17" s="108">
        <v>397635</v>
      </c>
      <c r="Q17" s="108">
        <v>397635</v>
      </c>
      <c r="R17" s="77">
        <v>5.556</v>
      </c>
      <c r="S17" s="76">
        <v>1</v>
      </c>
      <c r="T17" s="81">
        <v>0.994</v>
      </c>
      <c r="U17" s="54">
        <f t="shared" si="0"/>
        <v>861.3</v>
      </c>
      <c r="V17" s="54">
        <f t="shared" si="1"/>
        <v>430.7</v>
      </c>
      <c r="W17" s="54">
        <f t="shared" si="2"/>
        <v>0</v>
      </c>
      <c r="X17" s="54">
        <f t="shared" si="3"/>
        <v>0</v>
      </c>
      <c r="Y17" s="54">
        <f t="shared" si="4"/>
        <v>0</v>
      </c>
      <c r="Z17" s="54">
        <f t="shared" si="5"/>
        <v>0</v>
      </c>
      <c r="AA17" s="54">
        <f t="shared" si="6"/>
        <v>0</v>
      </c>
      <c r="AB17" s="54">
        <f t="shared" si="7"/>
        <v>1292</v>
      </c>
      <c r="AC17" s="68"/>
      <c r="AD17" s="68"/>
    </row>
    <row r="18" spans="1:30" s="41" customFormat="1" ht="15.75">
      <c r="A18" s="35">
        <v>11</v>
      </c>
      <c r="B18" s="36" t="s">
        <v>8</v>
      </c>
      <c r="C18" s="79">
        <v>5</v>
      </c>
      <c r="D18" s="37">
        <v>11</v>
      </c>
      <c r="E18" s="37"/>
      <c r="F18" s="37"/>
      <c r="G18" s="37"/>
      <c r="H18" s="37"/>
      <c r="I18" s="37"/>
      <c r="J18" s="37"/>
      <c r="K18" s="108">
        <v>25993</v>
      </c>
      <c r="L18" s="108">
        <v>33339</v>
      </c>
      <c r="M18" s="108">
        <v>33339</v>
      </c>
      <c r="N18" s="108">
        <v>25993</v>
      </c>
      <c r="O18" s="108">
        <v>397635</v>
      </c>
      <c r="P18" s="108">
        <v>397635</v>
      </c>
      <c r="Q18" s="108">
        <v>397635</v>
      </c>
      <c r="R18" s="77">
        <v>4.545</v>
      </c>
      <c r="S18" s="76">
        <v>1.143</v>
      </c>
      <c r="T18" s="81">
        <v>1</v>
      </c>
      <c r="U18" s="54">
        <f t="shared" si="0"/>
        <v>1485.4</v>
      </c>
      <c r="V18" s="54">
        <f t="shared" si="1"/>
        <v>0</v>
      </c>
      <c r="W18" s="54">
        <f t="shared" si="2"/>
        <v>0</v>
      </c>
      <c r="X18" s="54">
        <f t="shared" si="3"/>
        <v>0</v>
      </c>
      <c r="Y18" s="54">
        <f t="shared" si="4"/>
        <v>0</v>
      </c>
      <c r="Z18" s="54">
        <f t="shared" si="5"/>
        <v>0</v>
      </c>
      <c r="AA18" s="54">
        <f t="shared" si="6"/>
        <v>0</v>
      </c>
      <c r="AB18" s="54">
        <f t="shared" si="7"/>
        <v>1485.4</v>
      </c>
      <c r="AC18" s="68"/>
      <c r="AD18" s="68"/>
    </row>
    <row r="19" spans="1:30" s="41" customFormat="1" ht="15.75">
      <c r="A19" s="35">
        <v>12</v>
      </c>
      <c r="B19" s="36" t="s">
        <v>9</v>
      </c>
      <c r="C19" s="79">
        <v>5</v>
      </c>
      <c r="D19" s="37">
        <v>14</v>
      </c>
      <c r="E19" s="37"/>
      <c r="F19" s="37"/>
      <c r="G19" s="37"/>
      <c r="H19" s="37"/>
      <c r="I19" s="37"/>
      <c r="J19" s="37"/>
      <c r="K19" s="108">
        <v>25993</v>
      </c>
      <c r="L19" s="108">
        <v>33339</v>
      </c>
      <c r="M19" s="108">
        <v>33339</v>
      </c>
      <c r="N19" s="108">
        <v>25993</v>
      </c>
      <c r="O19" s="108">
        <v>397635</v>
      </c>
      <c r="P19" s="108">
        <v>397635</v>
      </c>
      <c r="Q19" s="108">
        <v>397635</v>
      </c>
      <c r="R19" s="77">
        <v>3.571</v>
      </c>
      <c r="S19" s="76">
        <v>1</v>
      </c>
      <c r="T19" s="81">
        <v>0.938</v>
      </c>
      <c r="U19" s="54">
        <f t="shared" si="0"/>
        <v>1218.9</v>
      </c>
      <c r="V19" s="54">
        <f t="shared" si="1"/>
        <v>0</v>
      </c>
      <c r="W19" s="54">
        <f t="shared" si="2"/>
        <v>0</v>
      </c>
      <c r="X19" s="54">
        <f t="shared" si="3"/>
        <v>0</v>
      </c>
      <c r="Y19" s="54">
        <f t="shared" si="4"/>
        <v>0</v>
      </c>
      <c r="Z19" s="54">
        <f t="shared" si="5"/>
        <v>0</v>
      </c>
      <c r="AA19" s="54">
        <f t="shared" si="6"/>
        <v>0</v>
      </c>
      <c r="AB19" s="54">
        <f t="shared" si="7"/>
        <v>1218.9</v>
      </c>
      <c r="AC19" s="68"/>
      <c r="AD19" s="68"/>
    </row>
    <row r="20" spans="1:30" s="41" customFormat="1" ht="15.75">
      <c r="A20" s="44">
        <v>13</v>
      </c>
      <c r="B20" s="36" t="s">
        <v>10</v>
      </c>
      <c r="C20" s="79">
        <v>5</v>
      </c>
      <c r="D20" s="37">
        <v>31</v>
      </c>
      <c r="E20" s="37"/>
      <c r="F20" s="37"/>
      <c r="G20" s="37"/>
      <c r="H20" s="37">
        <v>3</v>
      </c>
      <c r="I20" s="37"/>
      <c r="J20" s="37"/>
      <c r="K20" s="108">
        <v>25993</v>
      </c>
      <c r="L20" s="108">
        <v>33339</v>
      </c>
      <c r="M20" s="108">
        <v>33339</v>
      </c>
      <c r="N20" s="108">
        <v>25993</v>
      </c>
      <c r="O20" s="108">
        <v>397635</v>
      </c>
      <c r="P20" s="108">
        <v>397635</v>
      </c>
      <c r="Q20" s="108">
        <v>397635</v>
      </c>
      <c r="R20" s="77">
        <v>1.613</v>
      </c>
      <c r="S20" s="76">
        <v>1</v>
      </c>
      <c r="T20" s="81">
        <v>0.928</v>
      </c>
      <c r="U20" s="54">
        <f t="shared" si="0"/>
        <v>1206.1</v>
      </c>
      <c r="V20" s="54">
        <f t="shared" si="1"/>
        <v>0</v>
      </c>
      <c r="W20" s="54">
        <f t="shared" si="2"/>
        <v>0</v>
      </c>
      <c r="X20" s="54">
        <f t="shared" si="3"/>
        <v>0</v>
      </c>
      <c r="Y20" s="54">
        <f t="shared" si="4"/>
        <v>1785.6</v>
      </c>
      <c r="Z20" s="54">
        <f t="shared" si="5"/>
        <v>0</v>
      </c>
      <c r="AA20" s="54">
        <f t="shared" si="6"/>
        <v>0</v>
      </c>
      <c r="AB20" s="54">
        <f t="shared" si="7"/>
        <v>2991.7</v>
      </c>
      <c r="AC20" s="68"/>
      <c r="AD20" s="68"/>
    </row>
    <row r="21" spans="1:30" s="41" customFormat="1" ht="19.5" customHeight="1">
      <c r="A21" s="35">
        <v>14</v>
      </c>
      <c r="B21" s="36" t="s">
        <v>11</v>
      </c>
      <c r="C21" s="79">
        <v>5</v>
      </c>
      <c r="D21" s="37"/>
      <c r="E21" s="37"/>
      <c r="F21" s="37"/>
      <c r="G21" s="37"/>
      <c r="H21" s="37"/>
      <c r="I21" s="37"/>
      <c r="J21" s="37"/>
      <c r="K21" s="108">
        <v>25993</v>
      </c>
      <c r="L21" s="108">
        <v>33339</v>
      </c>
      <c r="M21" s="108">
        <v>33339</v>
      </c>
      <c r="N21" s="108">
        <v>25993</v>
      </c>
      <c r="O21" s="108">
        <v>397635</v>
      </c>
      <c r="P21" s="108">
        <v>397635</v>
      </c>
      <c r="Q21" s="108">
        <v>397635</v>
      </c>
      <c r="R21" s="77"/>
      <c r="S21" s="76">
        <v>1</v>
      </c>
      <c r="T21" s="81">
        <v>0.81</v>
      </c>
      <c r="U21" s="54">
        <f t="shared" si="0"/>
        <v>0</v>
      </c>
      <c r="V21" s="54">
        <f t="shared" si="1"/>
        <v>0</v>
      </c>
      <c r="W21" s="54">
        <f t="shared" si="2"/>
        <v>0</v>
      </c>
      <c r="X21" s="54">
        <f t="shared" si="3"/>
        <v>0</v>
      </c>
      <c r="Y21" s="54">
        <f t="shared" si="4"/>
        <v>0</v>
      </c>
      <c r="Z21" s="54">
        <f t="shared" si="5"/>
        <v>0</v>
      </c>
      <c r="AA21" s="54">
        <f t="shared" si="6"/>
        <v>0</v>
      </c>
      <c r="AB21" s="54">
        <f t="shared" si="7"/>
        <v>0</v>
      </c>
      <c r="AC21" s="68"/>
      <c r="AD21" s="68"/>
    </row>
    <row r="22" spans="1:30" s="41" customFormat="1" ht="15.75">
      <c r="A22" s="35">
        <v>15</v>
      </c>
      <c r="B22" s="36" t="s">
        <v>12</v>
      </c>
      <c r="C22" s="79">
        <v>5</v>
      </c>
      <c r="D22" s="37">
        <v>30</v>
      </c>
      <c r="E22" s="37"/>
      <c r="F22" s="37"/>
      <c r="G22" s="37"/>
      <c r="H22" s="37"/>
      <c r="I22" s="37"/>
      <c r="J22" s="37"/>
      <c r="K22" s="108">
        <v>25993</v>
      </c>
      <c r="L22" s="108">
        <v>33339</v>
      </c>
      <c r="M22" s="108">
        <v>33339</v>
      </c>
      <c r="N22" s="108">
        <v>25993</v>
      </c>
      <c r="O22" s="108">
        <v>397635</v>
      </c>
      <c r="P22" s="108">
        <v>397635</v>
      </c>
      <c r="Q22" s="108">
        <v>397635</v>
      </c>
      <c r="R22" s="77">
        <v>1.667</v>
      </c>
      <c r="S22" s="76">
        <v>1</v>
      </c>
      <c r="T22" s="81">
        <v>0.973</v>
      </c>
      <c r="U22" s="54">
        <f t="shared" si="0"/>
        <v>1264.8</v>
      </c>
      <c r="V22" s="54">
        <f t="shared" si="1"/>
        <v>0</v>
      </c>
      <c r="W22" s="54">
        <f t="shared" si="2"/>
        <v>0</v>
      </c>
      <c r="X22" s="54">
        <f t="shared" si="3"/>
        <v>0</v>
      </c>
      <c r="Y22" s="54">
        <f t="shared" si="4"/>
        <v>0</v>
      </c>
      <c r="Z22" s="54">
        <f t="shared" si="5"/>
        <v>0</v>
      </c>
      <c r="AA22" s="54">
        <f t="shared" si="6"/>
        <v>0</v>
      </c>
      <c r="AB22" s="54">
        <f t="shared" si="7"/>
        <v>1264.8</v>
      </c>
      <c r="AC22" s="68"/>
      <c r="AD22" s="68"/>
    </row>
    <row r="23" spans="1:30" s="41" customFormat="1" ht="15.75" customHeight="1">
      <c r="A23" s="44">
        <v>16</v>
      </c>
      <c r="B23" s="36" t="s">
        <v>13</v>
      </c>
      <c r="C23" s="79">
        <v>5</v>
      </c>
      <c r="D23" s="37"/>
      <c r="E23" s="37">
        <v>13</v>
      </c>
      <c r="F23" s="37"/>
      <c r="G23" s="37"/>
      <c r="H23" s="37"/>
      <c r="I23" s="37"/>
      <c r="J23" s="37"/>
      <c r="K23" s="108">
        <v>25993</v>
      </c>
      <c r="L23" s="108">
        <v>33339</v>
      </c>
      <c r="M23" s="108">
        <v>33339</v>
      </c>
      <c r="N23" s="108">
        <v>25993</v>
      </c>
      <c r="O23" s="108">
        <v>397635</v>
      </c>
      <c r="P23" s="108">
        <v>397635</v>
      </c>
      <c r="Q23" s="108">
        <v>397635</v>
      </c>
      <c r="R23" s="77">
        <v>3.846</v>
      </c>
      <c r="S23" s="76">
        <v>1</v>
      </c>
      <c r="T23" s="81">
        <v>0.803</v>
      </c>
      <c r="U23" s="54">
        <f t="shared" si="0"/>
        <v>0</v>
      </c>
      <c r="V23" s="54">
        <f t="shared" si="1"/>
        <v>1043.6</v>
      </c>
      <c r="W23" s="54">
        <f t="shared" si="2"/>
        <v>0</v>
      </c>
      <c r="X23" s="54">
        <f t="shared" si="3"/>
        <v>0</v>
      </c>
      <c r="Y23" s="54">
        <f t="shared" si="4"/>
        <v>0</v>
      </c>
      <c r="Z23" s="54">
        <f t="shared" si="5"/>
        <v>0</v>
      </c>
      <c r="AA23" s="54">
        <f t="shared" si="6"/>
        <v>0</v>
      </c>
      <c r="AB23" s="54">
        <f t="shared" si="7"/>
        <v>1043.6</v>
      </c>
      <c r="AC23" s="68"/>
      <c r="AD23" s="68"/>
    </row>
    <row r="24" spans="1:30" s="41" customFormat="1" ht="19.5" customHeight="1">
      <c r="A24" s="35">
        <v>17</v>
      </c>
      <c r="B24" s="36" t="s">
        <v>14</v>
      </c>
      <c r="C24" s="79">
        <v>5</v>
      </c>
      <c r="D24" s="37"/>
      <c r="E24" s="37"/>
      <c r="F24" s="37"/>
      <c r="G24" s="37"/>
      <c r="H24" s="37"/>
      <c r="I24" s="37"/>
      <c r="J24" s="37"/>
      <c r="K24" s="108">
        <v>28331</v>
      </c>
      <c r="L24" s="108">
        <v>33339</v>
      </c>
      <c r="M24" s="108">
        <v>33339</v>
      </c>
      <c r="N24" s="108">
        <v>28331</v>
      </c>
      <c r="O24" s="108">
        <v>397635</v>
      </c>
      <c r="P24" s="108">
        <v>397635</v>
      </c>
      <c r="Q24" s="108">
        <v>397635</v>
      </c>
      <c r="R24" s="77"/>
      <c r="S24" s="76">
        <v>1</v>
      </c>
      <c r="T24" s="81">
        <v>0.692</v>
      </c>
      <c r="U24" s="54">
        <f t="shared" si="0"/>
        <v>0</v>
      </c>
      <c r="V24" s="54">
        <f t="shared" si="1"/>
        <v>0</v>
      </c>
      <c r="W24" s="54">
        <f t="shared" si="2"/>
        <v>0</v>
      </c>
      <c r="X24" s="54">
        <f t="shared" si="3"/>
        <v>0</v>
      </c>
      <c r="Y24" s="54">
        <f t="shared" si="4"/>
        <v>0</v>
      </c>
      <c r="Z24" s="54">
        <f t="shared" si="5"/>
        <v>0</v>
      </c>
      <c r="AA24" s="54">
        <f t="shared" si="6"/>
        <v>0</v>
      </c>
      <c r="AB24" s="54">
        <f t="shared" si="7"/>
        <v>0</v>
      </c>
      <c r="AC24" s="68"/>
      <c r="AD24" s="68"/>
    </row>
    <row r="25" spans="1:30" s="41" customFormat="1" ht="15.75">
      <c r="A25" s="35">
        <v>18</v>
      </c>
      <c r="B25" s="36" t="s">
        <v>15</v>
      </c>
      <c r="C25" s="79">
        <v>5</v>
      </c>
      <c r="D25" s="37"/>
      <c r="E25" s="37"/>
      <c r="F25" s="37"/>
      <c r="G25" s="37"/>
      <c r="H25" s="37"/>
      <c r="I25" s="37"/>
      <c r="J25" s="37"/>
      <c r="K25" s="108">
        <v>25993</v>
      </c>
      <c r="L25" s="108">
        <v>33339</v>
      </c>
      <c r="M25" s="108">
        <v>33339</v>
      </c>
      <c r="N25" s="108">
        <v>25993</v>
      </c>
      <c r="O25" s="108">
        <v>397635</v>
      </c>
      <c r="P25" s="108">
        <v>397635</v>
      </c>
      <c r="Q25" s="108">
        <v>397635</v>
      </c>
      <c r="R25" s="77"/>
      <c r="S25" s="76">
        <v>1</v>
      </c>
      <c r="T25" s="81">
        <v>0.709</v>
      </c>
      <c r="U25" s="54">
        <f t="shared" si="0"/>
        <v>0</v>
      </c>
      <c r="V25" s="54">
        <f t="shared" si="1"/>
        <v>0</v>
      </c>
      <c r="W25" s="54">
        <f t="shared" si="2"/>
        <v>0</v>
      </c>
      <c r="X25" s="54">
        <f t="shared" si="3"/>
        <v>0</v>
      </c>
      <c r="Y25" s="54">
        <f t="shared" si="4"/>
        <v>0</v>
      </c>
      <c r="Z25" s="54">
        <f t="shared" si="5"/>
        <v>0</v>
      </c>
      <c r="AA25" s="54">
        <f t="shared" si="6"/>
        <v>0</v>
      </c>
      <c r="AB25" s="54">
        <f t="shared" si="7"/>
        <v>0</v>
      </c>
      <c r="AC25" s="68"/>
      <c r="AD25" s="68"/>
    </row>
    <row r="26" spans="1:30" s="41" customFormat="1" ht="21" customHeight="1">
      <c r="A26" s="44">
        <v>19</v>
      </c>
      <c r="B26" s="36" t="s">
        <v>16</v>
      </c>
      <c r="C26" s="79">
        <v>5</v>
      </c>
      <c r="D26" s="37">
        <v>15</v>
      </c>
      <c r="E26" s="37"/>
      <c r="F26" s="37"/>
      <c r="G26" s="37"/>
      <c r="H26" s="37"/>
      <c r="I26" s="37"/>
      <c r="J26" s="37"/>
      <c r="K26" s="108">
        <v>25993</v>
      </c>
      <c r="L26" s="108">
        <v>33339</v>
      </c>
      <c r="M26" s="108">
        <v>33339</v>
      </c>
      <c r="N26" s="108">
        <v>25993</v>
      </c>
      <c r="O26" s="108">
        <v>397635</v>
      </c>
      <c r="P26" s="108">
        <v>397635</v>
      </c>
      <c r="Q26" s="108">
        <v>397635</v>
      </c>
      <c r="R26" s="77">
        <v>3.333</v>
      </c>
      <c r="S26" s="76">
        <v>1.006</v>
      </c>
      <c r="T26" s="81">
        <v>1</v>
      </c>
      <c r="U26" s="54">
        <f t="shared" si="0"/>
        <v>1307.3</v>
      </c>
      <c r="V26" s="54">
        <f t="shared" si="1"/>
        <v>0</v>
      </c>
      <c r="W26" s="54">
        <f t="shared" si="2"/>
        <v>0</v>
      </c>
      <c r="X26" s="54">
        <f t="shared" si="3"/>
        <v>0</v>
      </c>
      <c r="Y26" s="54">
        <f t="shared" si="4"/>
        <v>0</v>
      </c>
      <c r="Z26" s="54">
        <f t="shared" si="5"/>
        <v>0</v>
      </c>
      <c r="AA26" s="54">
        <f t="shared" si="6"/>
        <v>0</v>
      </c>
      <c r="AB26" s="54">
        <f t="shared" si="7"/>
        <v>1307.3</v>
      </c>
      <c r="AC26" s="68"/>
      <c r="AD26" s="68"/>
    </row>
    <row r="27" spans="1:30" s="41" customFormat="1" ht="15.75">
      <c r="A27" s="35">
        <v>20</v>
      </c>
      <c r="B27" s="36" t="s">
        <v>17</v>
      </c>
      <c r="C27" s="79">
        <v>5</v>
      </c>
      <c r="D27" s="37"/>
      <c r="E27" s="37">
        <v>27</v>
      </c>
      <c r="F27" s="37"/>
      <c r="G27" s="37"/>
      <c r="H27" s="37"/>
      <c r="I27" s="37"/>
      <c r="J27" s="37"/>
      <c r="K27" s="108">
        <v>25993</v>
      </c>
      <c r="L27" s="108">
        <v>33339</v>
      </c>
      <c r="M27" s="108">
        <v>33339</v>
      </c>
      <c r="N27" s="108">
        <v>25993</v>
      </c>
      <c r="O27" s="108">
        <v>397635</v>
      </c>
      <c r="P27" s="108">
        <v>397635</v>
      </c>
      <c r="Q27" s="108">
        <v>397635</v>
      </c>
      <c r="R27" s="77">
        <v>1.852</v>
      </c>
      <c r="S27" s="76">
        <v>1.136</v>
      </c>
      <c r="T27" s="81">
        <v>1</v>
      </c>
      <c r="U27" s="54">
        <f t="shared" si="0"/>
        <v>0</v>
      </c>
      <c r="V27" s="54">
        <f>ROUND(K27*E27*R27*T27/1000*S27,1)</f>
        <v>1476.5</v>
      </c>
      <c r="W27" s="54">
        <f t="shared" si="2"/>
        <v>0</v>
      </c>
      <c r="X27" s="54">
        <f t="shared" si="3"/>
        <v>0</v>
      </c>
      <c r="Y27" s="54">
        <f t="shared" si="4"/>
        <v>0</v>
      </c>
      <c r="Z27" s="54">
        <f t="shared" si="5"/>
        <v>0</v>
      </c>
      <c r="AA27" s="54">
        <f t="shared" si="6"/>
        <v>0</v>
      </c>
      <c r="AB27" s="54">
        <f t="shared" si="7"/>
        <v>1476.5</v>
      </c>
      <c r="AC27" s="68"/>
      <c r="AD27" s="68"/>
    </row>
    <row r="28" spans="1:30" s="41" customFormat="1" ht="15.75">
      <c r="A28" s="35">
        <v>21</v>
      </c>
      <c r="B28" s="36" t="s">
        <v>18</v>
      </c>
      <c r="C28" s="79">
        <v>5</v>
      </c>
      <c r="D28" s="66"/>
      <c r="E28" s="37"/>
      <c r="F28" s="37"/>
      <c r="G28" s="37"/>
      <c r="H28" s="37"/>
      <c r="I28" s="37"/>
      <c r="J28" s="37"/>
      <c r="K28" s="108">
        <v>25993</v>
      </c>
      <c r="L28" s="108">
        <v>33339</v>
      </c>
      <c r="M28" s="108">
        <v>33339</v>
      </c>
      <c r="N28" s="108">
        <v>25993</v>
      </c>
      <c r="O28" s="108">
        <v>397635</v>
      </c>
      <c r="P28" s="108">
        <v>397635</v>
      </c>
      <c r="Q28" s="108">
        <v>397635</v>
      </c>
      <c r="R28" s="77"/>
      <c r="S28" s="76">
        <v>1</v>
      </c>
      <c r="T28" s="81">
        <v>0.908</v>
      </c>
      <c r="U28" s="54">
        <f t="shared" si="0"/>
        <v>0</v>
      </c>
      <c r="V28" s="54">
        <f t="shared" si="1"/>
        <v>0</v>
      </c>
      <c r="W28" s="54">
        <f t="shared" si="2"/>
        <v>0</v>
      </c>
      <c r="X28" s="54">
        <f t="shared" si="3"/>
        <v>0</v>
      </c>
      <c r="Y28" s="54">
        <f t="shared" si="4"/>
        <v>0</v>
      </c>
      <c r="Z28" s="54">
        <f t="shared" si="5"/>
        <v>0</v>
      </c>
      <c r="AA28" s="54">
        <f t="shared" si="6"/>
        <v>0</v>
      </c>
      <c r="AB28" s="54">
        <f t="shared" si="7"/>
        <v>0</v>
      </c>
      <c r="AC28" s="68"/>
      <c r="AD28" s="68"/>
    </row>
    <row r="29" spans="1:30" s="41" customFormat="1" ht="20.25" customHeight="1">
      <c r="A29" s="44">
        <v>22</v>
      </c>
      <c r="B29" s="36" t="s">
        <v>19</v>
      </c>
      <c r="C29" s="79">
        <v>5</v>
      </c>
      <c r="D29" s="37">
        <v>13</v>
      </c>
      <c r="E29" s="37"/>
      <c r="F29" s="37"/>
      <c r="G29" s="37"/>
      <c r="H29" s="37"/>
      <c r="I29" s="37"/>
      <c r="J29" s="37"/>
      <c r="K29" s="108">
        <v>25993</v>
      </c>
      <c r="L29" s="108">
        <v>33339</v>
      </c>
      <c r="M29" s="108">
        <v>33339</v>
      </c>
      <c r="N29" s="108">
        <v>25993</v>
      </c>
      <c r="O29" s="108">
        <v>397635</v>
      </c>
      <c r="P29" s="108">
        <v>397635</v>
      </c>
      <c r="Q29" s="108">
        <v>397635</v>
      </c>
      <c r="R29" s="77">
        <v>3.846</v>
      </c>
      <c r="S29" s="76">
        <v>1</v>
      </c>
      <c r="T29" s="81">
        <v>0.969</v>
      </c>
      <c r="U29" s="54">
        <f t="shared" si="0"/>
        <v>1259.3</v>
      </c>
      <c r="V29" s="54">
        <f t="shared" si="1"/>
        <v>0</v>
      </c>
      <c r="W29" s="54">
        <f t="shared" si="2"/>
        <v>0</v>
      </c>
      <c r="X29" s="54">
        <f t="shared" si="3"/>
        <v>0</v>
      </c>
      <c r="Y29" s="54">
        <f t="shared" si="4"/>
        <v>0</v>
      </c>
      <c r="Z29" s="54">
        <f t="shared" si="5"/>
        <v>0</v>
      </c>
      <c r="AA29" s="54">
        <f t="shared" si="6"/>
        <v>0</v>
      </c>
      <c r="AB29" s="54">
        <f t="shared" si="7"/>
        <v>1259.3</v>
      </c>
      <c r="AC29" s="68"/>
      <c r="AD29" s="68"/>
    </row>
    <row r="30" spans="1:30" s="41" customFormat="1" ht="18.75" customHeight="1">
      <c r="A30" s="35">
        <v>23</v>
      </c>
      <c r="B30" s="36" t="s">
        <v>20</v>
      </c>
      <c r="C30" s="79">
        <v>6</v>
      </c>
      <c r="D30" s="37">
        <v>8</v>
      </c>
      <c r="E30" s="37"/>
      <c r="F30" s="37"/>
      <c r="G30" s="37"/>
      <c r="H30" s="37"/>
      <c r="I30" s="37"/>
      <c r="J30" s="37"/>
      <c r="K30" s="108">
        <v>28331</v>
      </c>
      <c r="L30" s="108">
        <v>36337</v>
      </c>
      <c r="M30" s="108">
        <v>36337</v>
      </c>
      <c r="N30" s="108">
        <v>28331</v>
      </c>
      <c r="O30" s="108">
        <v>397635</v>
      </c>
      <c r="P30" s="108">
        <v>397635</v>
      </c>
      <c r="Q30" s="108">
        <v>397635</v>
      </c>
      <c r="R30" s="77">
        <v>6.25</v>
      </c>
      <c r="S30" s="76">
        <v>1</v>
      </c>
      <c r="T30" s="81">
        <v>0.942</v>
      </c>
      <c r="U30" s="54">
        <f t="shared" si="0"/>
        <v>1334.4</v>
      </c>
      <c r="V30" s="54">
        <f t="shared" si="1"/>
        <v>0</v>
      </c>
      <c r="W30" s="54">
        <f t="shared" si="2"/>
        <v>0</v>
      </c>
      <c r="X30" s="54">
        <f t="shared" si="3"/>
        <v>0</v>
      </c>
      <c r="Y30" s="54">
        <f t="shared" si="4"/>
        <v>0</v>
      </c>
      <c r="Z30" s="54">
        <f t="shared" si="5"/>
        <v>0</v>
      </c>
      <c r="AA30" s="54">
        <f t="shared" si="6"/>
        <v>0</v>
      </c>
      <c r="AB30" s="54">
        <f t="shared" si="7"/>
        <v>1334.4</v>
      </c>
      <c r="AC30" s="68"/>
      <c r="AD30" s="68"/>
    </row>
    <row r="31" spans="1:30" s="41" customFormat="1" ht="15.75">
      <c r="A31" s="35">
        <v>24</v>
      </c>
      <c r="B31" s="36" t="s">
        <v>21</v>
      </c>
      <c r="C31" s="79">
        <v>5</v>
      </c>
      <c r="D31" s="37"/>
      <c r="E31" s="37"/>
      <c r="F31" s="37"/>
      <c r="G31" s="37"/>
      <c r="H31" s="37"/>
      <c r="I31" s="37"/>
      <c r="J31" s="37"/>
      <c r="K31" s="108">
        <v>25993</v>
      </c>
      <c r="L31" s="108">
        <v>33339</v>
      </c>
      <c r="M31" s="108">
        <v>33339</v>
      </c>
      <c r="N31" s="108">
        <v>25993</v>
      </c>
      <c r="O31" s="108">
        <v>397635</v>
      </c>
      <c r="P31" s="108">
        <v>397635</v>
      </c>
      <c r="Q31" s="108">
        <v>397635</v>
      </c>
      <c r="R31" s="77"/>
      <c r="S31" s="76">
        <v>1</v>
      </c>
      <c r="T31" s="81">
        <v>0.919</v>
      </c>
      <c r="U31" s="54">
        <f t="shared" si="0"/>
        <v>0</v>
      </c>
      <c r="V31" s="54">
        <f t="shared" si="1"/>
        <v>0</v>
      </c>
      <c r="W31" s="54">
        <f t="shared" si="2"/>
        <v>0</v>
      </c>
      <c r="X31" s="54">
        <f t="shared" si="3"/>
        <v>0</v>
      </c>
      <c r="Y31" s="54">
        <f t="shared" si="4"/>
        <v>0</v>
      </c>
      <c r="Z31" s="54">
        <f t="shared" si="5"/>
        <v>0</v>
      </c>
      <c r="AA31" s="54">
        <f t="shared" si="6"/>
        <v>0</v>
      </c>
      <c r="AB31" s="54">
        <f t="shared" si="7"/>
        <v>0</v>
      </c>
      <c r="AC31" s="68"/>
      <c r="AD31" s="68"/>
    </row>
    <row r="32" spans="1:30" s="41" customFormat="1" ht="15.75">
      <c r="A32" s="44">
        <v>25</v>
      </c>
      <c r="B32" s="36" t="s">
        <v>22</v>
      </c>
      <c r="C32" s="79">
        <v>6</v>
      </c>
      <c r="D32" s="37"/>
      <c r="E32" s="37"/>
      <c r="F32" s="37"/>
      <c r="G32" s="37"/>
      <c r="H32" s="37"/>
      <c r="I32" s="37"/>
      <c r="J32" s="37"/>
      <c r="K32" s="108">
        <v>28331</v>
      </c>
      <c r="L32" s="108">
        <v>36337</v>
      </c>
      <c r="M32" s="108">
        <v>36337</v>
      </c>
      <c r="N32" s="108">
        <v>28331</v>
      </c>
      <c r="O32" s="108">
        <v>397635</v>
      </c>
      <c r="P32" s="108">
        <v>397635</v>
      </c>
      <c r="Q32" s="108">
        <v>397635</v>
      </c>
      <c r="R32" s="77"/>
      <c r="S32" s="76">
        <v>1</v>
      </c>
      <c r="T32" s="81">
        <v>0.978</v>
      </c>
      <c r="U32" s="54">
        <f t="shared" si="0"/>
        <v>0</v>
      </c>
      <c r="V32" s="54">
        <f t="shared" si="1"/>
        <v>0</v>
      </c>
      <c r="W32" s="54">
        <f t="shared" si="2"/>
        <v>0</v>
      </c>
      <c r="X32" s="54">
        <f t="shared" si="3"/>
        <v>0</v>
      </c>
      <c r="Y32" s="54">
        <f t="shared" si="4"/>
        <v>0</v>
      </c>
      <c r="Z32" s="54">
        <f t="shared" si="5"/>
        <v>0</v>
      </c>
      <c r="AA32" s="54">
        <f t="shared" si="6"/>
        <v>0</v>
      </c>
      <c r="AB32" s="54">
        <f t="shared" si="7"/>
        <v>0</v>
      </c>
      <c r="AC32" s="68"/>
      <c r="AD32" s="68"/>
    </row>
    <row r="33" spans="1:30" s="41" customFormat="1" ht="15.75">
      <c r="A33" s="35">
        <v>26</v>
      </c>
      <c r="B33" s="36" t="s">
        <v>23</v>
      </c>
      <c r="C33" s="79">
        <v>5</v>
      </c>
      <c r="D33" s="37">
        <v>3</v>
      </c>
      <c r="E33" s="37"/>
      <c r="F33" s="37"/>
      <c r="G33" s="37"/>
      <c r="H33" s="37"/>
      <c r="I33" s="37"/>
      <c r="J33" s="37"/>
      <c r="K33" s="108">
        <v>25993</v>
      </c>
      <c r="L33" s="108">
        <v>33339</v>
      </c>
      <c r="M33" s="108">
        <v>33339</v>
      </c>
      <c r="N33" s="108">
        <v>25993</v>
      </c>
      <c r="O33" s="108">
        <v>397635</v>
      </c>
      <c r="P33" s="108">
        <v>397635</v>
      </c>
      <c r="Q33" s="108">
        <v>397635</v>
      </c>
      <c r="R33" s="77">
        <v>8.333</v>
      </c>
      <c r="S33" s="76">
        <v>1</v>
      </c>
      <c r="T33" s="81">
        <v>0.766</v>
      </c>
      <c r="U33" s="54">
        <f t="shared" si="0"/>
        <v>497.7</v>
      </c>
      <c r="V33" s="54">
        <f t="shared" si="1"/>
        <v>0</v>
      </c>
      <c r="W33" s="54">
        <f t="shared" si="2"/>
        <v>0</v>
      </c>
      <c r="X33" s="54">
        <f t="shared" si="3"/>
        <v>0</v>
      </c>
      <c r="Y33" s="54">
        <f t="shared" si="4"/>
        <v>0</v>
      </c>
      <c r="Z33" s="54">
        <f t="shared" si="5"/>
        <v>0</v>
      </c>
      <c r="AA33" s="54">
        <f t="shared" si="6"/>
        <v>0</v>
      </c>
      <c r="AB33" s="54">
        <f t="shared" si="7"/>
        <v>497.7</v>
      </c>
      <c r="AC33" s="68"/>
      <c r="AD33" s="68"/>
    </row>
    <row r="34" spans="1:30" s="41" customFormat="1" ht="24" customHeight="1">
      <c r="A34" s="35">
        <v>27</v>
      </c>
      <c r="B34" s="36" t="s">
        <v>24</v>
      </c>
      <c r="C34" s="79">
        <v>5</v>
      </c>
      <c r="D34" s="37">
        <v>6</v>
      </c>
      <c r="E34" s="37"/>
      <c r="F34" s="37"/>
      <c r="G34" s="37"/>
      <c r="H34" s="37"/>
      <c r="I34" s="37"/>
      <c r="J34" s="37"/>
      <c r="K34" s="108">
        <v>25993</v>
      </c>
      <c r="L34" s="108">
        <v>33339</v>
      </c>
      <c r="M34" s="108">
        <v>33339</v>
      </c>
      <c r="N34" s="108">
        <v>25993</v>
      </c>
      <c r="O34" s="108">
        <v>397635</v>
      </c>
      <c r="P34" s="108">
        <v>397635</v>
      </c>
      <c r="Q34" s="108">
        <v>397635</v>
      </c>
      <c r="R34" s="77">
        <v>8.333</v>
      </c>
      <c r="S34" s="76">
        <v>1</v>
      </c>
      <c r="T34" s="81">
        <v>0.863</v>
      </c>
      <c r="U34" s="54">
        <f t="shared" si="0"/>
        <v>1121.6</v>
      </c>
      <c r="V34" s="54">
        <f t="shared" si="1"/>
        <v>0</v>
      </c>
      <c r="W34" s="54">
        <f t="shared" si="2"/>
        <v>0</v>
      </c>
      <c r="X34" s="54">
        <f t="shared" si="3"/>
        <v>0</v>
      </c>
      <c r="Y34" s="54">
        <f t="shared" si="4"/>
        <v>0</v>
      </c>
      <c r="Z34" s="54">
        <f t="shared" si="5"/>
        <v>0</v>
      </c>
      <c r="AA34" s="54">
        <f t="shared" si="6"/>
        <v>0</v>
      </c>
      <c r="AB34" s="54">
        <f t="shared" si="7"/>
        <v>1121.6</v>
      </c>
      <c r="AC34" s="68"/>
      <c r="AD34" s="68"/>
    </row>
    <row r="35" spans="1:30" s="41" customFormat="1" ht="27.75" customHeight="1">
      <c r="A35" s="44">
        <v>28</v>
      </c>
      <c r="B35" s="36" t="s">
        <v>25</v>
      </c>
      <c r="C35" s="79">
        <v>5</v>
      </c>
      <c r="D35" s="37"/>
      <c r="E35" s="37"/>
      <c r="F35" s="37"/>
      <c r="G35" s="37"/>
      <c r="H35" s="37"/>
      <c r="I35" s="37"/>
      <c r="J35" s="37"/>
      <c r="K35" s="108">
        <v>25993</v>
      </c>
      <c r="L35" s="108">
        <v>33339</v>
      </c>
      <c r="M35" s="108">
        <v>33339</v>
      </c>
      <c r="N35" s="108">
        <v>25993</v>
      </c>
      <c r="O35" s="108">
        <v>397635</v>
      </c>
      <c r="P35" s="108">
        <v>397635</v>
      </c>
      <c r="Q35" s="108">
        <v>397635</v>
      </c>
      <c r="R35" s="77"/>
      <c r="S35" s="76">
        <v>1</v>
      </c>
      <c r="T35" s="81">
        <v>0.849</v>
      </c>
      <c r="U35" s="54">
        <f t="shared" si="0"/>
        <v>0</v>
      </c>
      <c r="V35" s="54">
        <f t="shared" si="1"/>
        <v>0</v>
      </c>
      <c r="W35" s="54">
        <f t="shared" si="2"/>
        <v>0</v>
      </c>
      <c r="X35" s="54">
        <f t="shared" si="3"/>
        <v>0</v>
      </c>
      <c r="Y35" s="54">
        <f t="shared" si="4"/>
        <v>0</v>
      </c>
      <c r="Z35" s="54">
        <f t="shared" si="5"/>
        <v>0</v>
      </c>
      <c r="AA35" s="54">
        <f t="shared" si="6"/>
        <v>0</v>
      </c>
      <c r="AB35" s="54">
        <f t="shared" si="7"/>
        <v>0</v>
      </c>
      <c r="AC35" s="68"/>
      <c r="AD35" s="68"/>
    </row>
    <row r="36" spans="1:30" s="41" customFormat="1" ht="18.75" customHeight="1">
      <c r="A36" s="35">
        <v>29</v>
      </c>
      <c r="B36" s="36" t="s">
        <v>26</v>
      </c>
      <c r="C36" s="79">
        <v>6</v>
      </c>
      <c r="D36" s="37">
        <v>10</v>
      </c>
      <c r="E36" s="37"/>
      <c r="F36" s="37"/>
      <c r="G36" s="37"/>
      <c r="H36" s="37"/>
      <c r="I36" s="37"/>
      <c r="J36" s="37"/>
      <c r="K36" s="108">
        <v>28331</v>
      </c>
      <c r="L36" s="108">
        <v>36337</v>
      </c>
      <c r="M36" s="108">
        <v>36337</v>
      </c>
      <c r="N36" s="108">
        <v>28331</v>
      </c>
      <c r="O36" s="108">
        <v>397635</v>
      </c>
      <c r="P36" s="108">
        <v>397635</v>
      </c>
      <c r="Q36" s="108">
        <v>397635</v>
      </c>
      <c r="R36" s="77">
        <v>5</v>
      </c>
      <c r="S36" s="76">
        <v>1</v>
      </c>
      <c r="T36" s="81">
        <v>0.96</v>
      </c>
      <c r="U36" s="54">
        <f t="shared" si="0"/>
        <v>1359.9</v>
      </c>
      <c r="V36" s="54">
        <f t="shared" si="1"/>
        <v>0</v>
      </c>
      <c r="W36" s="54">
        <f t="shared" si="2"/>
        <v>0</v>
      </c>
      <c r="X36" s="54">
        <f t="shared" si="3"/>
        <v>0</v>
      </c>
      <c r="Y36" s="54">
        <f t="shared" si="4"/>
        <v>0</v>
      </c>
      <c r="Z36" s="54">
        <f t="shared" si="5"/>
        <v>0</v>
      </c>
      <c r="AA36" s="54">
        <f t="shared" si="6"/>
        <v>0</v>
      </c>
      <c r="AB36" s="54">
        <f t="shared" si="7"/>
        <v>1359.9</v>
      </c>
      <c r="AC36" s="68"/>
      <c r="AD36" s="68"/>
    </row>
    <row r="37" spans="1:30" s="41" customFormat="1" ht="32.25" customHeight="1">
      <c r="A37" s="35">
        <v>30</v>
      </c>
      <c r="B37" s="36" t="s">
        <v>27</v>
      </c>
      <c r="C37" s="79">
        <v>6</v>
      </c>
      <c r="D37" s="37"/>
      <c r="E37" s="37"/>
      <c r="F37" s="37"/>
      <c r="G37" s="37"/>
      <c r="H37" s="37"/>
      <c r="I37" s="37"/>
      <c r="J37" s="37"/>
      <c r="K37" s="108">
        <v>28331</v>
      </c>
      <c r="L37" s="108">
        <v>36337</v>
      </c>
      <c r="M37" s="108">
        <v>36337</v>
      </c>
      <c r="N37" s="108">
        <v>28331</v>
      </c>
      <c r="O37" s="108">
        <v>397635</v>
      </c>
      <c r="P37" s="108">
        <v>397635</v>
      </c>
      <c r="Q37" s="108">
        <v>397635</v>
      </c>
      <c r="R37" s="77"/>
      <c r="S37" s="76">
        <v>1</v>
      </c>
      <c r="T37" s="81">
        <v>0.947</v>
      </c>
      <c r="U37" s="54">
        <f t="shared" si="0"/>
        <v>0</v>
      </c>
      <c r="V37" s="54">
        <f t="shared" si="1"/>
        <v>0</v>
      </c>
      <c r="W37" s="54">
        <f t="shared" si="2"/>
        <v>0</v>
      </c>
      <c r="X37" s="54">
        <f t="shared" si="3"/>
        <v>0</v>
      </c>
      <c r="Y37" s="54">
        <f t="shared" si="4"/>
        <v>0</v>
      </c>
      <c r="Z37" s="54">
        <f t="shared" si="5"/>
        <v>0</v>
      </c>
      <c r="AA37" s="54">
        <f t="shared" si="6"/>
        <v>0</v>
      </c>
      <c r="AB37" s="54">
        <f t="shared" si="7"/>
        <v>0</v>
      </c>
      <c r="AC37" s="68"/>
      <c r="AD37" s="68"/>
    </row>
    <row r="38" spans="1:30" s="41" customFormat="1" ht="15.75">
      <c r="A38" s="44">
        <v>31</v>
      </c>
      <c r="B38" s="36" t="s">
        <v>28</v>
      </c>
      <c r="C38" s="79">
        <v>5</v>
      </c>
      <c r="D38" s="37">
        <v>15</v>
      </c>
      <c r="E38" s="37"/>
      <c r="F38" s="37"/>
      <c r="G38" s="37"/>
      <c r="H38" s="37"/>
      <c r="I38" s="37"/>
      <c r="J38" s="37"/>
      <c r="K38" s="108">
        <v>25993</v>
      </c>
      <c r="L38" s="108">
        <v>33339</v>
      </c>
      <c r="M38" s="108">
        <v>33339</v>
      </c>
      <c r="N38" s="108">
        <v>25993</v>
      </c>
      <c r="O38" s="108">
        <v>397635</v>
      </c>
      <c r="P38" s="108">
        <v>397635</v>
      </c>
      <c r="Q38" s="108">
        <v>397635</v>
      </c>
      <c r="R38" s="77">
        <v>3.333</v>
      </c>
      <c r="S38" s="76">
        <v>1.024</v>
      </c>
      <c r="T38" s="81">
        <v>1</v>
      </c>
      <c r="U38" s="54">
        <f t="shared" si="0"/>
        <v>1330.7</v>
      </c>
      <c r="V38" s="54">
        <f t="shared" si="1"/>
        <v>0</v>
      </c>
      <c r="W38" s="54">
        <f t="shared" si="2"/>
        <v>0</v>
      </c>
      <c r="X38" s="54">
        <f t="shared" si="3"/>
        <v>0</v>
      </c>
      <c r="Y38" s="54">
        <f t="shared" si="4"/>
        <v>0</v>
      </c>
      <c r="Z38" s="54">
        <f t="shared" si="5"/>
        <v>0</v>
      </c>
      <c r="AA38" s="54">
        <f t="shared" si="6"/>
        <v>0</v>
      </c>
      <c r="AB38" s="54">
        <f t="shared" si="7"/>
        <v>1330.7</v>
      </c>
      <c r="AC38" s="68"/>
      <c r="AD38" s="68"/>
    </row>
    <row r="39" spans="1:30" s="41" customFormat="1" ht="15.75">
      <c r="A39" s="35">
        <v>32</v>
      </c>
      <c r="B39" s="36" t="s">
        <v>29</v>
      </c>
      <c r="C39" s="79">
        <v>5</v>
      </c>
      <c r="D39" s="37"/>
      <c r="E39" s="37"/>
      <c r="F39" s="37"/>
      <c r="G39" s="37"/>
      <c r="H39" s="37"/>
      <c r="I39" s="37"/>
      <c r="J39" s="37"/>
      <c r="K39" s="108">
        <v>25993</v>
      </c>
      <c r="L39" s="108">
        <v>33339</v>
      </c>
      <c r="M39" s="108">
        <v>33339</v>
      </c>
      <c r="N39" s="108">
        <v>25993</v>
      </c>
      <c r="O39" s="108">
        <v>397635</v>
      </c>
      <c r="P39" s="108">
        <v>397635</v>
      </c>
      <c r="Q39" s="108">
        <v>397635</v>
      </c>
      <c r="R39" s="77"/>
      <c r="S39" s="76">
        <v>1</v>
      </c>
      <c r="T39" s="81">
        <v>0.785</v>
      </c>
      <c r="U39" s="54">
        <f t="shared" si="0"/>
        <v>0</v>
      </c>
      <c r="V39" s="54">
        <f t="shared" si="1"/>
        <v>0</v>
      </c>
      <c r="W39" s="54">
        <f t="shared" si="2"/>
        <v>0</v>
      </c>
      <c r="X39" s="54">
        <f t="shared" si="3"/>
        <v>0</v>
      </c>
      <c r="Y39" s="54">
        <f t="shared" si="4"/>
        <v>0</v>
      </c>
      <c r="Z39" s="54">
        <f t="shared" si="5"/>
        <v>0</v>
      </c>
      <c r="AA39" s="54">
        <f t="shared" si="6"/>
        <v>0</v>
      </c>
      <c r="AB39" s="54">
        <f t="shared" si="7"/>
        <v>0</v>
      </c>
      <c r="AC39" s="68"/>
      <c r="AD39" s="68"/>
    </row>
    <row r="40" spans="1:30" s="41" customFormat="1" ht="15.75">
      <c r="A40" s="35">
        <v>33</v>
      </c>
      <c r="B40" s="36" t="s">
        <v>30</v>
      </c>
      <c r="C40" s="79">
        <v>6</v>
      </c>
      <c r="D40" s="37"/>
      <c r="E40" s="37"/>
      <c r="F40" s="37"/>
      <c r="G40" s="37"/>
      <c r="H40" s="37"/>
      <c r="I40" s="37"/>
      <c r="J40" s="37"/>
      <c r="K40" s="108">
        <v>28331</v>
      </c>
      <c r="L40" s="108">
        <v>36337</v>
      </c>
      <c r="M40" s="108">
        <v>36337</v>
      </c>
      <c r="N40" s="108">
        <v>28331</v>
      </c>
      <c r="O40" s="108">
        <v>397635</v>
      </c>
      <c r="P40" s="108">
        <v>397635</v>
      </c>
      <c r="Q40" s="108">
        <v>397635</v>
      </c>
      <c r="R40" s="77"/>
      <c r="S40" s="76">
        <v>1</v>
      </c>
      <c r="T40" s="81">
        <v>0.683</v>
      </c>
      <c r="U40" s="54">
        <f t="shared" si="0"/>
        <v>0</v>
      </c>
      <c r="V40" s="54">
        <f t="shared" si="1"/>
        <v>0</v>
      </c>
      <c r="W40" s="54">
        <f t="shared" si="2"/>
        <v>0</v>
      </c>
      <c r="X40" s="54">
        <f t="shared" si="3"/>
        <v>0</v>
      </c>
      <c r="Y40" s="54">
        <f t="shared" si="4"/>
        <v>0</v>
      </c>
      <c r="Z40" s="54">
        <f t="shared" si="5"/>
        <v>0</v>
      </c>
      <c r="AA40" s="54">
        <f t="shared" si="6"/>
        <v>0</v>
      </c>
      <c r="AB40" s="54">
        <f t="shared" si="7"/>
        <v>0</v>
      </c>
      <c r="AC40" s="68"/>
      <c r="AD40" s="68"/>
    </row>
    <row r="41" spans="1:30" s="41" customFormat="1" ht="15.75">
      <c r="A41" s="44">
        <v>34</v>
      </c>
      <c r="B41" s="36" t="s">
        <v>31</v>
      </c>
      <c r="C41" s="79">
        <v>5</v>
      </c>
      <c r="D41" s="37">
        <v>13</v>
      </c>
      <c r="E41" s="37"/>
      <c r="F41" s="37"/>
      <c r="G41" s="37"/>
      <c r="H41" s="37"/>
      <c r="I41" s="37"/>
      <c r="J41" s="37"/>
      <c r="K41" s="108">
        <v>25993</v>
      </c>
      <c r="L41" s="108">
        <v>33339</v>
      </c>
      <c r="M41" s="108">
        <v>33339</v>
      </c>
      <c r="N41" s="108">
        <v>25993</v>
      </c>
      <c r="O41" s="108">
        <v>397635</v>
      </c>
      <c r="P41" s="108">
        <v>397635</v>
      </c>
      <c r="Q41" s="108">
        <v>397635</v>
      </c>
      <c r="R41" s="77">
        <v>3.846</v>
      </c>
      <c r="S41" s="76">
        <v>1.024</v>
      </c>
      <c r="T41" s="81">
        <v>1</v>
      </c>
      <c r="U41" s="54">
        <f>ROUND(K41*D41*R41*T41/1000*S41,1)-3.9</f>
        <v>1326.8999999999999</v>
      </c>
      <c r="V41" s="54">
        <f t="shared" si="1"/>
        <v>0</v>
      </c>
      <c r="W41" s="54">
        <f t="shared" si="2"/>
        <v>0</v>
      </c>
      <c r="X41" s="54">
        <f t="shared" si="3"/>
        <v>0</v>
      </c>
      <c r="Y41" s="54">
        <f t="shared" si="4"/>
        <v>0</v>
      </c>
      <c r="Z41" s="54">
        <f t="shared" si="5"/>
        <v>0</v>
      </c>
      <c r="AA41" s="54">
        <f t="shared" si="6"/>
        <v>0</v>
      </c>
      <c r="AB41" s="54">
        <f t="shared" si="7"/>
        <v>1326.8999999999999</v>
      </c>
      <c r="AC41" s="68"/>
      <c r="AD41" s="68"/>
    </row>
    <row r="42" spans="1:30" s="41" customFormat="1" ht="22.5" customHeight="1">
      <c r="A42" s="35">
        <v>35</v>
      </c>
      <c r="B42" s="36" t="s">
        <v>32</v>
      </c>
      <c r="C42" s="79">
        <v>5</v>
      </c>
      <c r="D42" s="37">
        <v>14</v>
      </c>
      <c r="E42" s="37"/>
      <c r="F42" s="37"/>
      <c r="G42" s="37"/>
      <c r="H42" s="37"/>
      <c r="I42" s="37"/>
      <c r="J42" s="37"/>
      <c r="K42" s="108">
        <v>25993</v>
      </c>
      <c r="L42" s="108">
        <v>33339</v>
      </c>
      <c r="M42" s="108">
        <v>33339</v>
      </c>
      <c r="N42" s="108">
        <v>25993</v>
      </c>
      <c r="O42" s="108">
        <v>397635</v>
      </c>
      <c r="P42" s="108">
        <v>397635</v>
      </c>
      <c r="Q42" s="108">
        <v>397635</v>
      </c>
      <c r="R42" s="77">
        <v>3.571</v>
      </c>
      <c r="S42" s="76">
        <v>1.164</v>
      </c>
      <c r="T42" s="81">
        <v>1</v>
      </c>
      <c r="U42" s="54">
        <f t="shared" si="0"/>
        <v>1512.6</v>
      </c>
      <c r="V42" s="54">
        <f t="shared" si="1"/>
        <v>0</v>
      </c>
      <c r="W42" s="54">
        <f t="shared" si="2"/>
        <v>0</v>
      </c>
      <c r="X42" s="54">
        <f t="shared" si="3"/>
        <v>0</v>
      </c>
      <c r="Y42" s="54">
        <f t="shared" si="4"/>
        <v>0</v>
      </c>
      <c r="Z42" s="54">
        <f t="shared" si="5"/>
        <v>0</v>
      </c>
      <c r="AA42" s="54">
        <f t="shared" si="6"/>
        <v>0</v>
      </c>
      <c r="AB42" s="54">
        <f t="shared" si="7"/>
        <v>1512.6</v>
      </c>
      <c r="AC42" s="68"/>
      <c r="AD42" s="68"/>
    </row>
    <row r="43" spans="1:30" s="41" customFormat="1" ht="21.75" customHeight="1">
      <c r="A43" s="35">
        <v>36</v>
      </c>
      <c r="B43" s="36" t="s">
        <v>33</v>
      </c>
      <c r="C43" s="79">
        <v>5</v>
      </c>
      <c r="D43" s="37">
        <v>4</v>
      </c>
      <c r="E43" s="37"/>
      <c r="F43" s="37"/>
      <c r="G43" s="37">
        <v>1</v>
      </c>
      <c r="H43" s="37"/>
      <c r="I43" s="37"/>
      <c r="J43" s="37"/>
      <c r="K43" s="108">
        <v>25993</v>
      </c>
      <c r="L43" s="108">
        <v>33339</v>
      </c>
      <c r="M43" s="108">
        <v>33339</v>
      </c>
      <c r="N43" s="108">
        <v>25993</v>
      </c>
      <c r="O43" s="108">
        <v>397635</v>
      </c>
      <c r="P43" s="108">
        <v>397635</v>
      </c>
      <c r="Q43" s="108">
        <v>397635</v>
      </c>
      <c r="R43" s="77">
        <v>5</v>
      </c>
      <c r="S43" s="76">
        <v>1</v>
      </c>
      <c r="T43" s="81">
        <v>0.956</v>
      </c>
      <c r="U43" s="54">
        <f t="shared" si="0"/>
        <v>497</v>
      </c>
      <c r="V43" s="54">
        <f t="shared" si="1"/>
        <v>0</v>
      </c>
      <c r="W43" s="54">
        <f t="shared" si="2"/>
        <v>0</v>
      </c>
      <c r="X43" s="54">
        <f t="shared" si="3"/>
        <v>124.2</v>
      </c>
      <c r="Y43" s="54">
        <f t="shared" si="4"/>
        <v>0</v>
      </c>
      <c r="Z43" s="54">
        <f t="shared" si="5"/>
        <v>0</v>
      </c>
      <c r="AA43" s="54">
        <f t="shared" si="6"/>
        <v>0</v>
      </c>
      <c r="AB43" s="54">
        <f t="shared" si="7"/>
        <v>621.2</v>
      </c>
      <c r="AC43" s="68"/>
      <c r="AD43" s="68"/>
    </row>
    <row r="44" spans="1:30" s="41" customFormat="1" ht="21" customHeight="1">
      <c r="A44" s="44">
        <v>37</v>
      </c>
      <c r="B44" s="36" t="s">
        <v>34</v>
      </c>
      <c r="C44" s="79">
        <v>6</v>
      </c>
      <c r="D44" s="37"/>
      <c r="E44" s="37"/>
      <c r="F44" s="37"/>
      <c r="G44" s="37"/>
      <c r="H44" s="37"/>
      <c r="I44" s="37"/>
      <c r="J44" s="37"/>
      <c r="K44" s="108">
        <v>28331</v>
      </c>
      <c r="L44" s="108">
        <v>36337</v>
      </c>
      <c r="M44" s="108">
        <v>36337</v>
      </c>
      <c r="N44" s="108">
        <v>28331</v>
      </c>
      <c r="O44" s="108">
        <v>397635</v>
      </c>
      <c r="P44" s="108">
        <v>397635</v>
      </c>
      <c r="Q44" s="108">
        <v>397635</v>
      </c>
      <c r="R44" s="77"/>
      <c r="S44" s="76">
        <v>1</v>
      </c>
      <c r="T44" s="81">
        <v>0.864</v>
      </c>
      <c r="U44" s="54">
        <f t="shared" si="0"/>
        <v>0</v>
      </c>
      <c r="V44" s="54">
        <f t="shared" si="1"/>
        <v>0</v>
      </c>
      <c r="W44" s="54">
        <f t="shared" si="2"/>
        <v>0</v>
      </c>
      <c r="X44" s="54">
        <f t="shared" si="3"/>
        <v>0</v>
      </c>
      <c r="Y44" s="54">
        <f t="shared" si="4"/>
        <v>0</v>
      </c>
      <c r="Z44" s="54">
        <f t="shared" si="5"/>
        <v>0</v>
      </c>
      <c r="AA44" s="54">
        <f t="shared" si="6"/>
        <v>0</v>
      </c>
      <c r="AB44" s="54">
        <f t="shared" si="7"/>
        <v>0</v>
      </c>
      <c r="AC44" s="68"/>
      <c r="AD44" s="68"/>
    </row>
    <row r="45" spans="1:30" s="41" customFormat="1" ht="31.5">
      <c r="A45" s="35">
        <v>38</v>
      </c>
      <c r="B45" s="36" t="s">
        <v>35</v>
      </c>
      <c r="C45" s="79">
        <v>5</v>
      </c>
      <c r="D45" s="37"/>
      <c r="E45" s="37"/>
      <c r="F45" s="37"/>
      <c r="G45" s="37"/>
      <c r="H45" s="37"/>
      <c r="I45" s="37"/>
      <c r="J45" s="37"/>
      <c r="K45" s="108">
        <v>25993</v>
      </c>
      <c r="L45" s="108">
        <v>33339</v>
      </c>
      <c r="M45" s="108">
        <v>33339</v>
      </c>
      <c r="N45" s="108">
        <v>25993</v>
      </c>
      <c r="O45" s="108">
        <v>397635</v>
      </c>
      <c r="P45" s="108">
        <v>397635</v>
      </c>
      <c r="Q45" s="108">
        <v>397635</v>
      </c>
      <c r="R45" s="77"/>
      <c r="S45" s="76">
        <v>1</v>
      </c>
      <c r="T45" s="81">
        <v>0.993</v>
      </c>
      <c r="U45" s="54">
        <f t="shared" si="0"/>
        <v>0</v>
      </c>
      <c r="V45" s="54">
        <f t="shared" si="1"/>
        <v>0</v>
      </c>
      <c r="W45" s="54">
        <f t="shared" si="2"/>
        <v>0</v>
      </c>
      <c r="X45" s="54">
        <f t="shared" si="3"/>
        <v>0</v>
      </c>
      <c r="Y45" s="54">
        <f t="shared" si="4"/>
        <v>0</v>
      </c>
      <c r="Z45" s="54">
        <f t="shared" si="5"/>
        <v>0</v>
      </c>
      <c r="AA45" s="54">
        <f t="shared" si="6"/>
        <v>0</v>
      </c>
      <c r="AB45" s="54">
        <f t="shared" si="7"/>
        <v>0</v>
      </c>
      <c r="AC45" s="68"/>
      <c r="AD45" s="68"/>
    </row>
    <row r="46" spans="1:30" s="41" customFormat="1" ht="16.5" thickBot="1">
      <c r="A46" s="35">
        <v>39</v>
      </c>
      <c r="B46" s="49" t="s">
        <v>36</v>
      </c>
      <c r="C46" s="79">
        <v>5</v>
      </c>
      <c r="D46" s="37"/>
      <c r="E46" s="37"/>
      <c r="F46" s="37"/>
      <c r="G46" s="37"/>
      <c r="H46" s="37"/>
      <c r="I46" s="37"/>
      <c r="J46" s="37"/>
      <c r="K46" s="108">
        <v>25993</v>
      </c>
      <c r="L46" s="108">
        <v>33339</v>
      </c>
      <c r="M46" s="108">
        <v>33339</v>
      </c>
      <c r="N46" s="108">
        <v>25993</v>
      </c>
      <c r="O46" s="108">
        <v>397635</v>
      </c>
      <c r="P46" s="108">
        <v>397635</v>
      </c>
      <c r="Q46" s="108">
        <v>397635</v>
      </c>
      <c r="R46" s="77"/>
      <c r="S46" s="76">
        <v>1</v>
      </c>
      <c r="T46" s="81">
        <v>0.881</v>
      </c>
      <c r="U46" s="54">
        <f t="shared" si="0"/>
        <v>0</v>
      </c>
      <c r="V46" s="54">
        <f t="shared" si="1"/>
        <v>0</v>
      </c>
      <c r="W46" s="54">
        <f t="shared" si="2"/>
        <v>0</v>
      </c>
      <c r="X46" s="54">
        <f t="shared" si="3"/>
        <v>0</v>
      </c>
      <c r="Y46" s="54">
        <f t="shared" si="4"/>
        <v>0</v>
      </c>
      <c r="Z46" s="54">
        <f t="shared" si="5"/>
        <v>0</v>
      </c>
      <c r="AA46" s="54">
        <f t="shared" si="6"/>
        <v>0</v>
      </c>
      <c r="AB46" s="54">
        <f t="shared" si="7"/>
        <v>0</v>
      </c>
      <c r="AC46" s="68"/>
      <c r="AD46" s="68"/>
    </row>
    <row r="47" spans="1:30" s="41" customFormat="1" ht="48" thickBot="1">
      <c r="A47" s="50"/>
      <c r="B47" s="80" t="s">
        <v>77</v>
      </c>
      <c r="C47" s="51"/>
      <c r="D47" s="52">
        <f aca="true" t="shared" si="8" ref="D47:J47">SUM(D8:D46)</f>
        <v>419</v>
      </c>
      <c r="E47" s="52">
        <f t="shared" si="8"/>
        <v>166</v>
      </c>
      <c r="F47" s="52">
        <f t="shared" si="8"/>
        <v>3</v>
      </c>
      <c r="G47" s="52">
        <f t="shared" si="8"/>
        <v>2</v>
      </c>
      <c r="H47" s="52">
        <f t="shared" si="8"/>
        <v>4</v>
      </c>
      <c r="I47" s="52">
        <f t="shared" si="8"/>
        <v>2</v>
      </c>
      <c r="J47" s="52">
        <f t="shared" si="8"/>
        <v>1</v>
      </c>
      <c r="K47" s="52"/>
      <c r="L47" s="52"/>
      <c r="M47" s="52"/>
      <c r="N47" s="52"/>
      <c r="O47" s="52"/>
      <c r="P47" s="52"/>
      <c r="Q47" s="53"/>
      <c r="R47" s="78"/>
      <c r="S47" s="78"/>
      <c r="T47" s="78"/>
      <c r="U47" s="54">
        <f aca="true" t="shared" si="9" ref="U47:AB47">SUM(U8:U46)</f>
        <v>25098.5</v>
      </c>
      <c r="V47" s="54">
        <f t="shared" si="9"/>
        <v>6991.200000000001</v>
      </c>
      <c r="W47" s="54">
        <f t="shared" si="9"/>
        <v>109.80000000000001</v>
      </c>
      <c r="X47" s="54">
        <f t="shared" si="9"/>
        <v>151.6</v>
      </c>
      <c r="Y47" s="54">
        <f t="shared" si="9"/>
        <v>2303.1</v>
      </c>
      <c r="Z47" s="54">
        <f t="shared" si="9"/>
        <v>975</v>
      </c>
      <c r="AA47" s="54">
        <f t="shared" si="9"/>
        <v>517.5</v>
      </c>
      <c r="AB47" s="54">
        <f t="shared" si="9"/>
        <v>36146.7</v>
      </c>
      <c r="AC47" s="68"/>
      <c r="AD47" s="68"/>
    </row>
    <row r="48" spans="1:30" s="6" customFormat="1" ht="18" customHeight="1">
      <c r="A48" s="9"/>
      <c r="B48" s="10"/>
      <c r="C48" s="10"/>
      <c r="D48" s="10">
        <f>SUM(D47:J47)</f>
        <v>597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AB48" s="55">
        <f>SUM(U47:AA47)</f>
        <v>36146.7</v>
      </c>
      <c r="AC48" s="67"/>
      <c r="AD48" s="67"/>
    </row>
    <row r="49" spans="1:30" s="6" customFormat="1" ht="15.7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AB49" s="61">
        <v>36184.4</v>
      </c>
      <c r="AC49" s="67"/>
      <c r="AD49" s="67"/>
    </row>
    <row r="50" spans="1:30" s="6" customFormat="1" ht="15.75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AC50" s="67"/>
      <c r="AD50" s="67"/>
    </row>
    <row r="51" spans="1:30" s="6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AB51" s="56"/>
      <c r="AC51" s="67"/>
      <c r="AD51" s="67"/>
    </row>
    <row r="52" spans="1:30" s="6" customFormat="1" ht="15.7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AC52" s="67"/>
      <c r="AD52" s="67"/>
    </row>
    <row r="53" spans="1:30" s="6" customFormat="1" ht="15.75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AC53" s="67"/>
      <c r="AD53" s="67"/>
    </row>
    <row r="54" spans="1:30" s="6" customFormat="1" ht="15.75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AC54" s="67"/>
      <c r="AD54" s="67"/>
    </row>
    <row r="55" spans="1:30" s="6" customFormat="1" ht="16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AC55" s="67"/>
      <c r="AD55" s="67"/>
    </row>
    <row r="56" spans="1:30" s="6" customFormat="1" ht="15.7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67"/>
      <c r="AD56" s="67"/>
    </row>
    <row r="57" spans="1:30" s="6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AC57" s="67"/>
      <c r="AD57" s="67"/>
    </row>
    <row r="58" spans="1:30" s="6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AC58" s="67"/>
      <c r="AD58" s="67"/>
    </row>
    <row r="59" spans="1:30" s="6" customFormat="1" ht="15.7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AC59" s="67"/>
      <c r="AD59" s="67"/>
    </row>
    <row r="60" spans="1:30" s="6" customFormat="1" ht="15.7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AC60" s="67"/>
      <c r="AD60" s="67"/>
    </row>
    <row r="61" spans="1:30" s="6" customFormat="1" ht="15.75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AC61" s="67"/>
      <c r="AD61" s="67"/>
    </row>
    <row r="62" spans="1:30" s="18" customFormat="1" ht="16.5" customHeight="1">
      <c r="A62" s="153"/>
      <c r="B62" s="153"/>
      <c r="C62" s="153"/>
      <c r="D62" s="153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AC62" s="69"/>
      <c r="AD62" s="69"/>
    </row>
    <row r="63" spans="1:20" ht="15.75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8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.7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.7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.7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.7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.7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.75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.7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.7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.75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.7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.7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.7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.7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.7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.7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.7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.75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.7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.7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.75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.7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.7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18.75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15.75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</sheetData>
  <sheetProtection/>
  <mergeCells count="18">
    <mergeCell ref="A62:D62"/>
    <mergeCell ref="K5:Q5"/>
    <mergeCell ref="U5:AA5"/>
    <mergeCell ref="AB5:AB7"/>
    <mergeCell ref="D4:J4"/>
    <mergeCell ref="A3:A7"/>
    <mergeCell ref="B3:B5"/>
    <mergeCell ref="C3:C7"/>
    <mergeCell ref="B6:B7"/>
    <mergeCell ref="D3:J3"/>
    <mergeCell ref="K3:Q4"/>
    <mergeCell ref="R3:R7"/>
    <mergeCell ref="T3:T7"/>
    <mergeCell ref="U3:AB4"/>
    <mergeCell ref="AC5:AC7"/>
    <mergeCell ref="AC4:AD4"/>
    <mergeCell ref="AD5:AD7"/>
    <mergeCell ref="S3:S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71" zoomScaleNormal="74" zoomScaleSheetLayoutView="71" zoomScalePageLayoutView="0" workbookViewId="0" topLeftCell="A1">
      <selection activeCell="K1" sqref="K1:K16384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21.7109375" style="19" customWidth="1"/>
    <col min="4" max="4" width="23.00390625" style="19" customWidth="1"/>
    <col min="5" max="5" width="20.57421875" style="19" customWidth="1"/>
    <col min="6" max="6" width="22.7109375" style="19" customWidth="1"/>
    <col min="7" max="7" width="23.8515625" style="19" customWidth="1"/>
    <col min="8" max="8" width="23.28125" style="19" customWidth="1"/>
    <col min="9" max="9" width="21.28125" style="19" customWidth="1"/>
    <col min="10" max="10" width="24.00390625" style="19" customWidth="1"/>
    <col min="11" max="11" width="9.57421875" style="19" bestFit="1" customWidth="1"/>
    <col min="12" max="16384" width="9.140625" style="19" customWidth="1"/>
  </cols>
  <sheetData>
    <row r="1" spans="1:10" s="6" customFormat="1" ht="18.75">
      <c r="A1" s="161"/>
      <c r="B1" s="161"/>
      <c r="C1" s="161"/>
      <c r="D1" s="161"/>
      <c r="E1" s="161"/>
      <c r="J1" s="6" t="s">
        <v>91</v>
      </c>
    </row>
    <row r="2" spans="1:10" s="83" customFormat="1" ht="15.75">
      <c r="A2" s="156" t="s">
        <v>81</v>
      </c>
      <c r="B2" s="137" t="s">
        <v>74</v>
      </c>
      <c r="C2" s="141" t="s">
        <v>76</v>
      </c>
      <c r="D2" s="141"/>
      <c r="E2" s="141"/>
      <c r="F2" s="141"/>
      <c r="G2" s="141"/>
      <c r="H2" s="141"/>
      <c r="I2" s="140" t="s">
        <v>70</v>
      </c>
      <c r="J2" s="140" t="s">
        <v>80</v>
      </c>
    </row>
    <row r="3" spans="1:10" s="83" customFormat="1" ht="36.75" customHeight="1">
      <c r="A3" s="157"/>
      <c r="B3" s="138"/>
      <c r="C3" s="141"/>
      <c r="D3" s="141"/>
      <c r="E3" s="141"/>
      <c r="F3" s="141"/>
      <c r="G3" s="141"/>
      <c r="H3" s="141"/>
      <c r="I3" s="140"/>
      <c r="J3" s="140"/>
    </row>
    <row r="4" spans="1:10" s="83" customFormat="1" ht="62.25" customHeight="1">
      <c r="A4" s="157"/>
      <c r="B4" s="138"/>
      <c r="C4" s="159" t="s">
        <v>45</v>
      </c>
      <c r="D4" s="160"/>
      <c r="E4" s="160"/>
      <c r="F4" s="160"/>
      <c r="G4" s="160"/>
      <c r="H4" s="160"/>
      <c r="I4" s="140"/>
      <c r="J4" s="140"/>
    </row>
    <row r="5" spans="1:10" s="83" customFormat="1" ht="65.25" customHeight="1">
      <c r="A5" s="157"/>
      <c r="B5" s="152" t="s">
        <v>73</v>
      </c>
      <c r="C5" s="86" t="s">
        <v>47</v>
      </c>
      <c r="D5" s="87" t="s">
        <v>48</v>
      </c>
      <c r="E5" s="86" t="s">
        <v>49</v>
      </c>
      <c r="F5" s="86" t="s">
        <v>54</v>
      </c>
      <c r="G5" s="86" t="s">
        <v>55</v>
      </c>
      <c r="H5" s="103" t="s">
        <v>50</v>
      </c>
      <c r="I5" s="140"/>
      <c r="J5" s="140"/>
    </row>
    <row r="6" spans="1:10" s="83" customFormat="1" ht="85.5" customHeight="1">
      <c r="A6" s="158"/>
      <c r="B6" s="152"/>
      <c r="C6" s="84" t="s">
        <v>43</v>
      </c>
      <c r="D6" s="84" t="s">
        <v>43</v>
      </c>
      <c r="E6" s="84" t="s">
        <v>43</v>
      </c>
      <c r="F6" s="84" t="s">
        <v>43</v>
      </c>
      <c r="G6" s="84" t="s">
        <v>43</v>
      </c>
      <c r="H6" s="88" t="s">
        <v>43</v>
      </c>
      <c r="I6" s="140"/>
      <c r="J6" s="140"/>
    </row>
    <row r="7" spans="1:11" s="6" customFormat="1" ht="15.75">
      <c r="A7" s="26">
        <v>1</v>
      </c>
      <c r="B7" s="27" t="s">
        <v>0</v>
      </c>
      <c r="C7" s="116">
        <v>5610</v>
      </c>
      <c r="D7" s="117">
        <v>1020</v>
      </c>
      <c r="E7" s="118">
        <v>2040</v>
      </c>
      <c r="F7" s="119"/>
      <c r="G7" s="119">
        <v>3060</v>
      </c>
      <c r="H7" s="28"/>
      <c r="I7" s="120">
        <v>19</v>
      </c>
      <c r="J7" s="58">
        <f>ROUND((C7+D7+E7+F7+G7+H7)*I7/1000,1)-5.1</f>
        <v>217.8</v>
      </c>
      <c r="K7" s="3"/>
    </row>
    <row r="8" spans="1:11" s="6" customFormat="1" ht="15.75">
      <c r="A8" s="29">
        <v>2</v>
      </c>
      <c r="B8" s="27" t="s">
        <v>60</v>
      </c>
      <c r="C8" s="28">
        <v>2625</v>
      </c>
      <c r="D8" s="119">
        <v>3675</v>
      </c>
      <c r="E8" s="118">
        <v>1575</v>
      </c>
      <c r="F8" s="119"/>
      <c r="G8" s="119">
        <v>5250</v>
      </c>
      <c r="H8" s="28">
        <v>1050</v>
      </c>
      <c r="I8" s="120">
        <v>19</v>
      </c>
      <c r="J8" s="58">
        <f>ROUND((C8+D8+E8+F8+G8+H8)*I8/1000,1)+6.2</f>
        <v>275.5</v>
      </c>
      <c r="K8" s="3"/>
    </row>
    <row r="9" spans="1:11" s="6" customFormat="1" ht="15.75">
      <c r="A9" s="29">
        <v>3</v>
      </c>
      <c r="B9" s="27" t="s">
        <v>1</v>
      </c>
      <c r="C9" s="28">
        <v>4200</v>
      </c>
      <c r="D9" s="119"/>
      <c r="E9" s="118">
        <v>1050</v>
      </c>
      <c r="F9" s="119">
        <v>2625</v>
      </c>
      <c r="G9" s="119">
        <v>3675</v>
      </c>
      <c r="H9" s="28">
        <v>2100</v>
      </c>
      <c r="I9" s="120">
        <v>19</v>
      </c>
      <c r="J9" s="58">
        <f>ROUND((C9+D9+E9+F9+G9+H9)*I9/1000,1)+10.9</f>
        <v>270.29999999999995</v>
      </c>
      <c r="K9" s="3"/>
    </row>
    <row r="10" spans="1:11" s="6" customFormat="1" ht="15.75">
      <c r="A10" s="29">
        <v>4</v>
      </c>
      <c r="B10" s="27" t="s">
        <v>2</v>
      </c>
      <c r="C10" s="121">
        <v>1050</v>
      </c>
      <c r="D10" s="122">
        <v>1050</v>
      </c>
      <c r="E10" s="123">
        <v>1575</v>
      </c>
      <c r="F10" s="122"/>
      <c r="G10" s="122">
        <v>1920</v>
      </c>
      <c r="H10" s="121">
        <v>720</v>
      </c>
      <c r="I10" s="120">
        <v>19</v>
      </c>
      <c r="J10" s="58">
        <f>ROUND((C10+D10+E10+F10+G10+H10)*I10/1000,1)+5.5</f>
        <v>125.5</v>
      </c>
      <c r="K10" s="3"/>
    </row>
    <row r="11" spans="1:11" s="6" customFormat="1" ht="15.75">
      <c r="A11" s="29">
        <v>5</v>
      </c>
      <c r="B11" s="27" t="s">
        <v>59</v>
      </c>
      <c r="C11" s="28"/>
      <c r="D11" s="119"/>
      <c r="E11" s="118"/>
      <c r="F11" s="119"/>
      <c r="G11" s="119"/>
      <c r="H11" s="28"/>
      <c r="I11" s="120">
        <v>19</v>
      </c>
      <c r="J11" s="58">
        <f>ROUND((C11+D11+E11+F11+G11+H11)*I11/1000,1)</f>
        <v>0</v>
      </c>
      <c r="K11" s="3"/>
    </row>
    <row r="12" spans="1:11" s="6" customFormat="1" ht="15.75">
      <c r="A12" s="29">
        <v>6</v>
      </c>
      <c r="B12" s="27" t="s">
        <v>3</v>
      </c>
      <c r="C12" s="28">
        <v>3168</v>
      </c>
      <c r="D12" s="119">
        <v>864</v>
      </c>
      <c r="E12" s="118">
        <v>256</v>
      </c>
      <c r="F12" s="119"/>
      <c r="G12" s="119">
        <v>240</v>
      </c>
      <c r="H12" s="28">
        <v>960</v>
      </c>
      <c r="I12" s="120">
        <v>19</v>
      </c>
      <c r="J12" s="58">
        <f>ROUND((C12+D12+E12+F12+G12+H12)*I12/1000,1)-2.6</f>
        <v>101.7</v>
      </c>
      <c r="K12" s="3"/>
    </row>
    <row r="13" spans="1:11" s="6" customFormat="1" ht="15.75" customHeight="1">
      <c r="A13" s="29">
        <v>7</v>
      </c>
      <c r="B13" s="27" t="s">
        <v>4</v>
      </c>
      <c r="C13" s="28">
        <v>3675</v>
      </c>
      <c r="D13" s="119">
        <v>2100</v>
      </c>
      <c r="E13" s="118">
        <v>1050</v>
      </c>
      <c r="F13" s="119"/>
      <c r="G13" s="119">
        <v>4200</v>
      </c>
      <c r="H13" s="28">
        <v>3150</v>
      </c>
      <c r="I13" s="120">
        <v>19</v>
      </c>
      <c r="J13" s="58">
        <f>ROUND((C13+D13+E13+F13+G13+H13)*I13/1000,1)+0.5</f>
        <v>269.8</v>
      </c>
      <c r="K13" s="3"/>
    </row>
    <row r="14" spans="1:11" s="32" customFormat="1" ht="15.75">
      <c r="A14" s="30">
        <v>8</v>
      </c>
      <c r="B14" s="31" t="s">
        <v>5</v>
      </c>
      <c r="C14" s="28">
        <v>2480</v>
      </c>
      <c r="D14" s="119">
        <v>720</v>
      </c>
      <c r="E14" s="118">
        <v>1440</v>
      </c>
      <c r="F14" s="119"/>
      <c r="G14" s="119">
        <v>1888</v>
      </c>
      <c r="H14" s="28">
        <v>560</v>
      </c>
      <c r="I14" s="120">
        <v>19</v>
      </c>
      <c r="J14" s="58">
        <f>ROUND((C14+D14+E14+F14+G14+H14)*I14/1000,1)+4.3</f>
        <v>139</v>
      </c>
      <c r="K14" s="3"/>
    </row>
    <row r="15" spans="1:11" s="6" customFormat="1" ht="15.75">
      <c r="A15" s="29">
        <v>10</v>
      </c>
      <c r="B15" s="27" t="s">
        <v>6</v>
      </c>
      <c r="C15" s="28"/>
      <c r="D15" s="119"/>
      <c r="E15" s="118"/>
      <c r="F15" s="119"/>
      <c r="G15" s="119"/>
      <c r="H15" s="28"/>
      <c r="I15" s="120">
        <v>22</v>
      </c>
      <c r="J15" s="58">
        <f>ROUND((C15+D15+E15+F15+G15+H15)*I15/1000,1)</f>
        <v>0</v>
      </c>
      <c r="K15" s="3"/>
    </row>
    <row r="16" spans="1:11" s="6" customFormat="1" ht="15.75">
      <c r="A16" s="33">
        <v>11</v>
      </c>
      <c r="B16" s="34" t="s">
        <v>7</v>
      </c>
      <c r="C16" s="28">
        <v>2550</v>
      </c>
      <c r="D16" s="119">
        <v>2040</v>
      </c>
      <c r="E16" s="118"/>
      <c r="F16" s="119"/>
      <c r="G16" s="119">
        <v>1530</v>
      </c>
      <c r="H16" s="28">
        <v>3060</v>
      </c>
      <c r="I16" s="120">
        <v>22</v>
      </c>
      <c r="J16" s="58">
        <f>ROUND((C16+D16+E16+F16+G16+H16)*I16/1000,1)-2.2</f>
        <v>199.8</v>
      </c>
      <c r="K16" s="3"/>
    </row>
    <row r="17" spans="1:11" s="6" customFormat="1" ht="15.75">
      <c r="A17" s="33">
        <v>12</v>
      </c>
      <c r="B17" s="34" t="s">
        <v>8</v>
      </c>
      <c r="C17" s="28">
        <v>4725</v>
      </c>
      <c r="D17" s="119">
        <v>4725</v>
      </c>
      <c r="E17" s="118">
        <v>2100</v>
      </c>
      <c r="F17" s="119"/>
      <c r="G17" s="119">
        <v>18450</v>
      </c>
      <c r="H17" s="28">
        <v>2100</v>
      </c>
      <c r="I17" s="120">
        <v>22</v>
      </c>
      <c r="J17" s="58">
        <f>ROUND((C17+D17+E17+F17+G17+H17)*I17/1000,1)+1</f>
        <v>707.2</v>
      </c>
      <c r="K17" s="3"/>
    </row>
    <row r="18" spans="1:11" s="6" customFormat="1" ht="15.75">
      <c r="A18" s="33">
        <v>13</v>
      </c>
      <c r="B18" s="34" t="s">
        <v>9</v>
      </c>
      <c r="C18" s="28">
        <v>13260</v>
      </c>
      <c r="D18" s="119">
        <v>3150</v>
      </c>
      <c r="E18" s="118">
        <v>3150</v>
      </c>
      <c r="F18" s="119"/>
      <c r="G18" s="119">
        <v>4200</v>
      </c>
      <c r="H18" s="28">
        <v>8120</v>
      </c>
      <c r="I18" s="120">
        <v>22</v>
      </c>
      <c r="J18" s="58">
        <f>ROUND((C18+D18+E18+F18+G18+H18)*I18/1000,1)+3.2</f>
        <v>704.6</v>
      </c>
      <c r="K18" s="3"/>
    </row>
    <row r="19" spans="1:11" s="6" customFormat="1" ht="15.75">
      <c r="A19" s="33">
        <v>14</v>
      </c>
      <c r="B19" s="34" t="s">
        <v>10</v>
      </c>
      <c r="C19" s="28">
        <v>4200</v>
      </c>
      <c r="D19" s="119">
        <v>4200</v>
      </c>
      <c r="E19" s="118">
        <v>1050</v>
      </c>
      <c r="F19" s="119"/>
      <c r="G19" s="119">
        <v>5530</v>
      </c>
      <c r="H19" s="28">
        <v>1050</v>
      </c>
      <c r="I19" s="120">
        <v>22</v>
      </c>
      <c r="J19" s="58">
        <f>ROUND((C19+D19+E19+F19+G19+H19)*I19/1000,1)-6.2</f>
        <v>346.5</v>
      </c>
      <c r="K19" s="3"/>
    </row>
    <row r="20" spans="1:11" s="6" customFormat="1" ht="19.5" customHeight="1">
      <c r="A20" s="33">
        <v>15</v>
      </c>
      <c r="B20" s="34" t="s">
        <v>11</v>
      </c>
      <c r="C20" s="28">
        <v>1050</v>
      </c>
      <c r="D20" s="119"/>
      <c r="E20" s="118">
        <v>1050</v>
      </c>
      <c r="F20" s="119"/>
      <c r="G20" s="119">
        <v>1575</v>
      </c>
      <c r="H20" s="28">
        <v>1050</v>
      </c>
      <c r="I20" s="120">
        <v>22</v>
      </c>
      <c r="J20" s="58">
        <f>ROUND((C20+D20+E20+F20+G20+H20)*I20/1000,1)-1.2</f>
        <v>102.8</v>
      </c>
      <c r="K20" s="3"/>
    </row>
    <row r="21" spans="1:11" s="6" customFormat="1" ht="15.75">
      <c r="A21" s="33">
        <v>16</v>
      </c>
      <c r="B21" s="34" t="s">
        <v>12</v>
      </c>
      <c r="C21" s="28">
        <v>6355</v>
      </c>
      <c r="D21" s="119">
        <v>2975</v>
      </c>
      <c r="E21" s="118">
        <v>2800</v>
      </c>
      <c r="F21" s="119"/>
      <c r="G21" s="119">
        <v>3675</v>
      </c>
      <c r="H21" s="28">
        <v>1400</v>
      </c>
      <c r="I21" s="120">
        <v>22</v>
      </c>
      <c r="J21" s="58">
        <f>ROUND((C21+D21+E21+F21+G21+H21)*I21/1000,1)+8.5</f>
        <v>387</v>
      </c>
      <c r="K21" s="3"/>
    </row>
    <row r="22" spans="1:11" s="38" customFormat="1" ht="15.75" customHeight="1">
      <c r="A22" s="35">
        <v>17</v>
      </c>
      <c r="B22" s="36" t="s">
        <v>13</v>
      </c>
      <c r="C22" s="37"/>
      <c r="D22" s="37"/>
      <c r="E22" s="37"/>
      <c r="F22" s="37"/>
      <c r="G22" s="37"/>
      <c r="H22" s="37"/>
      <c r="I22" s="120">
        <v>22</v>
      </c>
      <c r="J22" s="58">
        <f>ROUND((C22+D22+E22+F22+G22+H22)*I22/1000,1)</f>
        <v>0</v>
      </c>
      <c r="K22" s="3"/>
    </row>
    <row r="23" spans="1:11" s="41" customFormat="1" ht="19.5" customHeight="1">
      <c r="A23" s="35">
        <v>18</v>
      </c>
      <c r="B23" s="36" t="s">
        <v>14</v>
      </c>
      <c r="C23" s="39">
        <v>2040</v>
      </c>
      <c r="D23" s="124">
        <v>525</v>
      </c>
      <c r="E23" s="40">
        <v>1515</v>
      </c>
      <c r="F23" s="124"/>
      <c r="G23" s="124">
        <v>2010</v>
      </c>
      <c r="H23" s="39">
        <v>510</v>
      </c>
      <c r="I23" s="120">
        <v>22</v>
      </c>
      <c r="J23" s="58">
        <f>ROUND((C23+D23+E23+F23+G23+H23)*I23/1000,1)+0.9</f>
        <v>146.1</v>
      </c>
      <c r="K23" s="3"/>
    </row>
    <row r="24" spans="1:11" s="6" customFormat="1" ht="15.75">
      <c r="A24" s="33">
        <v>19</v>
      </c>
      <c r="B24" s="34" t="s">
        <v>15</v>
      </c>
      <c r="C24" s="28">
        <v>1680</v>
      </c>
      <c r="D24" s="119"/>
      <c r="E24" s="118">
        <v>5985</v>
      </c>
      <c r="F24" s="119"/>
      <c r="G24" s="119">
        <v>3220</v>
      </c>
      <c r="H24" s="28">
        <v>1540</v>
      </c>
      <c r="I24" s="120">
        <v>22</v>
      </c>
      <c r="J24" s="58">
        <f>ROUND((C24+D24+E24+F24+G24+H24)*I24/1000,1)+1.1</f>
        <v>274.5</v>
      </c>
      <c r="K24" s="3"/>
    </row>
    <row r="25" spans="1:11" s="38" customFormat="1" ht="21" customHeight="1">
      <c r="A25" s="35">
        <v>20</v>
      </c>
      <c r="B25" s="36" t="s">
        <v>16</v>
      </c>
      <c r="C25" s="28"/>
      <c r="D25" s="119">
        <v>1575</v>
      </c>
      <c r="E25" s="118"/>
      <c r="F25" s="119"/>
      <c r="G25" s="119">
        <v>2100</v>
      </c>
      <c r="H25" s="28">
        <v>2625</v>
      </c>
      <c r="I25" s="120">
        <v>22</v>
      </c>
      <c r="J25" s="58">
        <f>ROUND((C25+D25+E25+F25+G25+H25)*I25/1000,1)-5.5</f>
        <v>133.1</v>
      </c>
      <c r="K25" s="3"/>
    </row>
    <row r="26" spans="1:11" s="6" customFormat="1" ht="15.75">
      <c r="A26" s="33">
        <v>21</v>
      </c>
      <c r="B26" s="34" t="s">
        <v>17</v>
      </c>
      <c r="C26" s="28">
        <v>1575</v>
      </c>
      <c r="D26" s="119">
        <v>525</v>
      </c>
      <c r="E26" s="118"/>
      <c r="F26" s="119"/>
      <c r="G26" s="119">
        <v>1575</v>
      </c>
      <c r="H26" s="28">
        <v>1050</v>
      </c>
      <c r="I26" s="120">
        <v>22</v>
      </c>
      <c r="J26" s="58">
        <f>ROUND((C26+D26+E26+F26+G26+H26)*I26/1000,1)+5.3</f>
        <v>109.3</v>
      </c>
      <c r="K26" s="3"/>
    </row>
    <row r="27" spans="1:11" s="6" customFormat="1" ht="15.75">
      <c r="A27" s="33">
        <v>22</v>
      </c>
      <c r="B27" s="34" t="s">
        <v>18</v>
      </c>
      <c r="C27" s="28">
        <v>4725</v>
      </c>
      <c r="D27" s="119"/>
      <c r="E27" s="118"/>
      <c r="F27" s="119"/>
      <c r="G27" s="119"/>
      <c r="H27" s="28"/>
      <c r="I27" s="120">
        <v>22</v>
      </c>
      <c r="J27" s="58">
        <f>ROUND((C27+D27+E27+F27+G27+H27)*I27/1000,1)-1</f>
        <v>103</v>
      </c>
      <c r="K27" s="3"/>
    </row>
    <row r="28" spans="1:11" s="41" customFormat="1" ht="15" customHeight="1">
      <c r="A28" s="35">
        <v>23</v>
      </c>
      <c r="B28" s="36" t="s">
        <v>19</v>
      </c>
      <c r="C28" s="39">
        <v>525</v>
      </c>
      <c r="D28" s="124">
        <v>1050</v>
      </c>
      <c r="E28" s="40">
        <v>525</v>
      </c>
      <c r="F28" s="124"/>
      <c r="G28" s="124">
        <v>1050</v>
      </c>
      <c r="H28" s="39">
        <v>1575</v>
      </c>
      <c r="I28" s="120">
        <v>22</v>
      </c>
      <c r="J28" s="58">
        <f>ROUND((C28+D28+E28+F28+G28+H28)*I28/1000,1)+3.1</f>
        <v>107.1</v>
      </c>
      <c r="K28" s="3"/>
    </row>
    <row r="29" spans="1:11" s="38" customFormat="1" ht="18.75" customHeight="1">
      <c r="A29" s="35">
        <v>24</v>
      </c>
      <c r="B29" s="36" t="s">
        <v>20</v>
      </c>
      <c r="C29" s="28">
        <v>4235</v>
      </c>
      <c r="D29" s="119">
        <v>1050</v>
      </c>
      <c r="E29" s="118">
        <v>910</v>
      </c>
      <c r="F29" s="119"/>
      <c r="G29" s="119">
        <v>1750</v>
      </c>
      <c r="H29" s="28">
        <v>980</v>
      </c>
      <c r="I29" s="120">
        <v>22</v>
      </c>
      <c r="J29" s="58">
        <f>ROUND((C29+D29+E29+F29+G29+H29)*I29/1000,1)-4</f>
        <v>192.4</v>
      </c>
      <c r="K29" s="3"/>
    </row>
    <row r="30" spans="1:11" s="6" customFormat="1" ht="15.75">
      <c r="A30" s="33">
        <v>25</v>
      </c>
      <c r="B30" s="34" t="s">
        <v>21</v>
      </c>
      <c r="C30" s="28">
        <v>1260</v>
      </c>
      <c r="D30" s="119">
        <v>315</v>
      </c>
      <c r="E30" s="118">
        <v>1470</v>
      </c>
      <c r="F30" s="119"/>
      <c r="G30" s="119">
        <v>1050</v>
      </c>
      <c r="H30" s="28">
        <v>245</v>
      </c>
      <c r="I30" s="120">
        <v>22</v>
      </c>
      <c r="J30" s="58">
        <f>ROUND((C30+D30+E30+F30+G30+H30)*I30/1000,1)+1.7</f>
        <v>97.2</v>
      </c>
      <c r="K30" s="3"/>
    </row>
    <row r="31" spans="1:11" s="6" customFormat="1" ht="15.75">
      <c r="A31" s="33">
        <v>26</v>
      </c>
      <c r="B31" s="34" t="s">
        <v>22</v>
      </c>
      <c r="C31" s="28">
        <v>1575</v>
      </c>
      <c r="D31" s="119"/>
      <c r="E31" s="118">
        <v>1575</v>
      </c>
      <c r="F31" s="119"/>
      <c r="G31" s="119">
        <v>1575</v>
      </c>
      <c r="H31" s="28"/>
      <c r="I31" s="120">
        <v>22</v>
      </c>
      <c r="J31" s="58">
        <f>ROUND((C31+D31+E31+F31+G31+H31)*I31/1000,1)-2.8</f>
        <v>101.2</v>
      </c>
      <c r="K31" s="3"/>
    </row>
    <row r="32" spans="1:11" s="6" customFormat="1" ht="15.75">
      <c r="A32" s="33">
        <v>27</v>
      </c>
      <c r="B32" s="34" t="s">
        <v>23</v>
      </c>
      <c r="C32" s="28">
        <v>1656</v>
      </c>
      <c r="D32" s="119">
        <v>864</v>
      </c>
      <c r="E32" s="118">
        <v>1224</v>
      </c>
      <c r="F32" s="119"/>
      <c r="G32" s="119">
        <v>540</v>
      </c>
      <c r="H32" s="28">
        <v>1944</v>
      </c>
      <c r="I32" s="120">
        <v>22</v>
      </c>
      <c r="J32" s="58">
        <f>ROUND((C32+D32+E32+F32+G32+H32)*I32/1000,1)-3.6</f>
        <v>133.4</v>
      </c>
      <c r="K32" s="3"/>
    </row>
    <row r="33" spans="1:11" s="6" customFormat="1" ht="19.5" customHeight="1">
      <c r="A33" s="33">
        <v>28</v>
      </c>
      <c r="B33" s="34" t="s">
        <v>24</v>
      </c>
      <c r="C33" s="28">
        <v>525</v>
      </c>
      <c r="D33" s="119">
        <v>525</v>
      </c>
      <c r="E33" s="118">
        <v>1050</v>
      </c>
      <c r="F33" s="119"/>
      <c r="G33" s="119">
        <v>1575</v>
      </c>
      <c r="H33" s="28">
        <v>1050</v>
      </c>
      <c r="I33" s="120">
        <v>22</v>
      </c>
      <c r="J33" s="58">
        <f>ROUND((C33+D33+E33+F33+G33+H33)*I33/1000,1)-4.5</f>
        <v>99.5</v>
      </c>
      <c r="K33" s="3"/>
    </row>
    <row r="34" spans="1:11" s="6" customFormat="1" ht="18" customHeight="1">
      <c r="A34" s="33">
        <v>29</v>
      </c>
      <c r="B34" s="34" t="s">
        <v>25</v>
      </c>
      <c r="C34" s="28">
        <v>1050</v>
      </c>
      <c r="D34" s="119"/>
      <c r="E34" s="118">
        <v>525</v>
      </c>
      <c r="F34" s="119"/>
      <c r="G34" s="119"/>
      <c r="H34" s="28"/>
      <c r="I34" s="120">
        <v>22</v>
      </c>
      <c r="J34" s="58">
        <f>ROUND((C34+D34+E34+F34+G34+H34)*I34/1000,1)+0.1</f>
        <v>34.800000000000004</v>
      </c>
      <c r="K34" s="3"/>
    </row>
    <row r="35" spans="1:11" s="41" customFormat="1" ht="18.75" customHeight="1">
      <c r="A35" s="35">
        <v>30</v>
      </c>
      <c r="B35" s="36" t="s">
        <v>26</v>
      </c>
      <c r="C35" s="39">
        <v>525</v>
      </c>
      <c r="D35" s="124">
        <v>700</v>
      </c>
      <c r="E35" s="40">
        <v>9450</v>
      </c>
      <c r="F35" s="124"/>
      <c r="G35" s="124">
        <v>5600</v>
      </c>
      <c r="H35" s="39">
        <v>2100</v>
      </c>
      <c r="I35" s="120">
        <v>22</v>
      </c>
      <c r="J35" s="58">
        <f>ROUND((C35+D35+E35+F35+G35+H35)*I35/1000,1)-3.2</f>
        <v>401.1</v>
      </c>
      <c r="K35" s="3"/>
    </row>
    <row r="36" spans="1:11" s="6" customFormat="1" ht="24" customHeight="1">
      <c r="A36" s="33">
        <v>31</v>
      </c>
      <c r="B36" s="34" t="s">
        <v>27</v>
      </c>
      <c r="C36" s="28">
        <v>525</v>
      </c>
      <c r="D36" s="28"/>
      <c r="E36" s="118">
        <v>2100</v>
      </c>
      <c r="F36" s="124"/>
      <c r="G36" s="119">
        <v>2170</v>
      </c>
      <c r="H36" s="28"/>
      <c r="I36" s="120">
        <v>22</v>
      </c>
      <c r="J36" s="58">
        <f>ROUND((C36+D36+E36+F36+G36+H36)*I36/1000,1)-2.5</f>
        <v>103</v>
      </c>
      <c r="K36" s="3"/>
    </row>
    <row r="37" spans="1:11" s="6" customFormat="1" ht="15.75">
      <c r="A37" s="33">
        <v>32</v>
      </c>
      <c r="B37" s="34" t="s">
        <v>28</v>
      </c>
      <c r="C37" s="28">
        <v>1050</v>
      </c>
      <c r="D37" s="119">
        <v>525</v>
      </c>
      <c r="E37" s="118">
        <v>525</v>
      </c>
      <c r="F37" s="119"/>
      <c r="G37" s="119">
        <v>525</v>
      </c>
      <c r="H37" s="28">
        <v>2100</v>
      </c>
      <c r="I37" s="120">
        <v>22</v>
      </c>
      <c r="J37" s="58">
        <f>ROUND((C37+D37+E37+F37+G37+H37)*I37/1000,1)-2</f>
        <v>102</v>
      </c>
      <c r="K37" s="3"/>
    </row>
    <row r="38" spans="1:11" s="6" customFormat="1" ht="15.75">
      <c r="A38" s="33">
        <v>33</v>
      </c>
      <c r="B38" s="34" t="s">
        <v>29</v>
      </c>
      <c r="C38" s="28">
        <v>525</v>
      </c>
      <c r="D38" s="28"/>
      <c r="E38" s="28">
        <v>1050</v>
      </c>
      <c r="F38" s="28"/>
      <c r="G38" s="28">
        <v>2625</v>
      </c>
      <c r="H38" s="28">
        <v>525</v>
      </c>
      <c r="I38" s="120">
        <v>22</v>
      </c>
      <c r="J38" s="58">
        <f>ROUND((C38+D38+E38+F38+G38+H38)*I38/1000,1)+3.7</f>
        <v>107.7</v>
      </c>
      <c r="K38" s="3"/>
    </row>
    <row r="39" spans="1:11" s="6" customFormat="1" ht="15.75">
      <c r="A39" s="33">
        <v>34</v>
      </c>
      <c r="B39" s="34" t="s">
        <v>30</v>
      </c>
      <c r="C39" s="125"/>
      <c r="D39" s="125"/>
      <c r="E39" s="125"/>
      <c r="F39" s="125"/>
      <c r="G39" s="125"/>
      <c r="H39" s="125"/>
      <c r="I39" s="120">
        <v>22</v>
      </c>
      <c r="J39" s="58">
        <f>ROUND((C39+D39+E39+F39+G39+H39)*I39/1000,1)</f>
        <v>0</v>
      </c>
      <c r="K39" s="3"/>
    </row>
    <row r="40" spans="1:11" s="6" customFormat="1" ht="15.75">
      <c r="A40" s="33">
        <v>35</v>
      </c>
      <c r="B40" s="34" t="s">
        <v>31</v>
      </c>
      <c r="C40" s="28">
        <v>4655</v>
      </c>
      <c r="D40" s="119"/>
      <c r="E40" s="118"/>
      <c r="F40" s="119"/>
      <c r="G40" s="119">
        <v>4130</v>
      </c>
      <c r="H40" s="28">
        <v>3360</v>
      </c>
      <c r="I40" s="120">
        <v>22</v>
      </c>
      <c r="J40" s="58">
        <f>ROUND((C40+D40+E40+F40+G40+H40)*I40/1000,1)-0.2</f>
        <v>267</v>
      </c>
      <c r="K40" s="3"/>
    </row>
    <row r="41" spans="1:11" s="6" customFormat="1" ht="22.5" customHeight="1">
      <c r="A41" s="33">
        <v>36</v>
      </c>
      <c r="B41" s="34" t="s">
        <v>32</v>
      </c>
      <c r="C41" s="28">
        <v>3850</v>
      </c>
      <c r="D41" s="119">
        <v>525</v>
      </c>
      <c r="E41" s="118">
        <v>1575</v>
      </c>
      <c r="F41" s="119">
        <v>525</v>
      </c>
      <c r="G41" s="119">
        <v>4200</v>
      </c>
      <c r="H41" s="28">
        <v>980</v>
      </c>
      <c r="I41" s="120">
        <v>22</v>
      </c>
      <c r="J41" s="58">
        <f>ROUND((C41+D41+E41+F41+G41+H41)*I41/1000,1)+4.1</f>
        <v>260.5</v>
      </c>
      <c r="K41" s="3"/>
    </row>
    <row r="42" spans="1:11" s="6" customFormat="1" ht="21.75" customHeight="1">
      <c r="A42" s="33">
        <v>37</v>
      </c>
      <c r="B42" s="34" t="s">
        <v>33</v>
      </c>
      <c r="C42" s="28">
        <v>510</v>
      </c>
      <c r="D42" s="119">
        <v>1020</v>
      </c>
      <c r="E42" s="118">
        <v>1020</v>
      </c>
      <c r="F42" s="119">
        <v>510</v>
      </c>
      <c r="G42" s="119">
        <v>4590</v>
      </c>
      <c r="H42" s="28">
        <v>1530</v>
      </c>
      <c r="I42" s="120">
        <v>22</v>
      </c>
      <c r="J42" s="58">
        <f>ROUND((C42+D42+E42+F42+G42+H42)*I42/1000,1)+0.6</f>
        <v>202.6</v>
      </c>
      <c r="K42" s="3"/>
    </row>
    <row r="43" spans="1:11" s="38" customFormat="1" ht="21" customHeight="1">
      <c r="A43" s="35">
        <v>38</v>
      </c>
      <c r="B43" s="36" t="s">
        <v>34</v>
      </c>
      <c r="C43" s="28">
        <v>540</v>
      </c>
      <c r="D43" s="119">
        <v>370</v>
      </c>
      <c r="E43" s="118"/>
      <c r="F43" s="119">
        <v>2700</v>
      </c>
      <c r="G43" s="119">
        <v>740</v>
      </c>
      <c r="H43" s="28">
        <v>1700</v>
      </c>
      <c r="I43" s="120">
        <v>22</v>
      </c>
      <c r="J43" s="58">
        <f>ROUND((C43+D43+E43+F43+G43+H43)*I43/1000,1)-2.4</f>
        <v>130.7</v>
      </c>
      <c r="K43" s="3"/>
    </row>
    <row r="44" spans="1:11" s="38" customFormat="1" ht="15.75">
      <c r="A44" s="33">
        <v>39</v>
      </c>
      <c r="B44" s="36" t="s">
        <v>35</v>
      </c>
      <c r="C44" s="42">
        <v>1575</v>
      </c>
      <c r="D44" s="126">
        <v>1575</v>
      </c>
      <c r="E44" s="127"/>
      <c r="F44" s="126"/>
      <c r="G44" s="126">
        <v>1575</v>
      </c>
      <c r="H44" s="42"/>
      <c r="I44" s="120">
        <v>22</v>
      </c>
      <c r="J44" s="58">
        <f>ROUND((C44+D44+E44+F44+G44+H44)*I44/1000,1)+1.8</f>
        <v>105.8</v>
      </c>
      <c r="K44" s="3"/>
    </row>
    <row r="45" spans="1:11" s="6" customFormat="1" ht="16.5" thickBot="1">
      <c r="A45" s="33">
        <v>40</v>
      </c>
      <c r="B45" s="43" t="s">
        <v>36</v>
      </c>
      <c r="C45" s="73"/>
      <c r="D45" s="128">
        <v>525</v>
      </c>
      <c r="E45" s="129">
        <v>1400</v>
      </c>
      <c r="F45" s="126">
        <v>1050</v>
      </c>
      <c r="G45" s="128">
        <v>7420</v>
      </c>
      <c r="H45" s="73"/>
      <c r="I45" s="120">
        <v>22</v>
      </c>
      <c r="J45" s="58">
        <f>ROUND((C45+D45+E45+F45+G45+H45)*I45/1000,1)+1.5</f>
        <v>230.2</v>
      </c>
      <c r="K45" s="3"/>
    </row>
    <row r="46" spans="1:11" s="6" customFormat="1" ht="36" customHeight="1" thickBot="1">
      <c r="A46" s="7"/>
      <c r="B46" s="80" t="s">
        <v>77</v>
      </c>
      <c r="C46" s="8">
        <f aca="true" t="shared" si="0" ref="C46:H46">SUM(C7:C45)</f>
        <v>89549</v>
      </c>
      <c r="D46" s="8">
        <f t="shared" si="0"/>
        <v>38188</v>
      </c>
      <c r="E46" s="8">
        <f t="shared" si="0"/>
        <v>51035</v>
      </c>
      <c r="F46" s="8">
        <f t="shared" si="0"/>
        <v>7410</v>
      </c>
      <c r="G46" s="8">
        <f t="shared" si="0"/>
        <v>105213</v>
      </c>
      <c r="H46" s="57">
        <f t="shared" si="0"/>
        <v>49134</v>
      </c>
      <c r="I46" s="3"/>
      <c r="J46" s="58">
        <f>SUM(J7:J45)</f>
        <v>7289.700000000001</v>
      </c>
      <c r="K46" s="3"/>
    </row>
    <row r="47" spans="1:10" s="6" customFormat="1" ht="18" customHeight="1">
      <c r="A47" s="9"/>
      <c r="B47" s="10"/>
      <c r="J47" s="74"/>
    </row>
    <row r="48" spans="1:11" s="6" customFormat="1" ht="15.75">
      <c r="A48" s="12"/>
      <c r="B48" s="13"/>
      <c r="C48" s="25"/>
      <c r="K48" s="95"/>
    </row>
    <row r="49" spans="1:2" s="6" customFormat="1" ht="15.75">
      <c r="A49" s="12"/>
      <c r="B49" s="13"/>
    </row>
    <row r="50" spans="1:2" s="6" customFormat="1" ht="15.75">
      <c r="A50" s="12"/>
      <c r="B50" s="13"/>
    </row>
    <row r="51" spans="1:2" s="6" customFormat="1" ht="15.75">
      <c r="A51" s="12"/>
      <c r="B51" s="13"/>
    </row>
    <row r="52" spans="1:2" s="6" customFormat="1" ht="15.75">
      <c r="A52" s="12"/>
      <c r="B52" s="15"/>
    </row>
    <row r="53" spans="1:2" s="6" customFormat="1" ht="15.75">
      <c r="A53" s="12"/>
      <c r="B53" s="15"/>
    </row>
    <row r="54" spans="1:2" s="6" customFormat="1" ht="16.5" customHeight="1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3"/>
    </row>
    <row r="60" spans="1:2" s="6" customFormat="1" ht="15.75">
      <c r="A60" s="12"/>
      <c r="B60" s="16"/>
    </row>
    <row r="61" spans="1:2" s="18" customFormat="1" ht="16.5" customHeight="1">
      <c r="A61" s="153"/>
      <c r="B61" s="153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5.75">
      <c r="A65" s="12"/>
      <c r="B65" s="15"/>
    </row>
    <row r="66" spans="1:2" ht="18" customHeight="1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5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12"/>
      <c r="B105" s="13"/>
    </row>
    <row r="106" spans="1:2" ht="15.75">
      <c r="A106" s="20"/>
      <c r="B106" s="21"/>
    </row>
    <row r="107" spans="1:2" ht="18.75">
      <c r="A107" s="22"/>
      <c r="B107" s="22"/>
    </row>
    <row r="108" spans="1:2" ht="12.75">
      <c r="A108" s="20"/>
      <c r="B108" s="20"/>
    </row>
  </sheetData>
  <sheetProtection/>
  <mergeCells count="9">
    <mergeCell ref="J2:J6"/>
    <mergeCell ref="C4:H4"/>
    <mergeCell ref="A61:B61"/>
    <mergeCell ref="A1:E1"/>
    <mergeCell ref="A2:A6"/>
    <mergeCell ref="B2:B4"/>
    <mergeCell ref="B5:B6"/>
    <mergeCell ref="C2:H3"/>
    <mergeCell ref="I2:I6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="71" zoomScaleNormal="74" zoomScaleSheetLayoutView="71" zoomScalePageLayoutView="0" workbookViewId="0" topLeftCell="A1">
      <selection activeCell="F1" sqref="F1:F16384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23.28125" style="19" customWidth="1"/>
    <col min="4" max="4" width="21.421875" style="19" customWidth="1"/>
    <col min="5" max="5" width="26.421875" style="19" customWidth="1"/>
    <col min="6" max="16384" width="9.140625" style="19" customWidth="1"/>
  </cols>
  <sheetData>
    <row r="1" spans="1:5" s="6" customFormat="1" ht="18.75">
      <c r="A1" s="161"/>
      <c r="B1" s="161"/>
      <c r="E1" s="6" t="s">
        <v>92</v>
      </c>
    </row>
    <row r="2" spans="1:5" s="83" customFormat="1" ht="15.75" customHeight="1">
      <c r="A2" s="166" t="s">
        <v>81</v>
      </c>
      <c r="B2" s="137" t="s">
        <v>74</v>
      </c>
      <c r="C2" s="152" t="s">
        <v>83</v>
      </c>
      <c r="D2" s="162" t="s">
        <v>61</v>
      </c>
      <c r="E2" s="162" t="s">
        <v>80</v>
      </c>
    </row>
    <row r="3" spans="1:5" s="83" customFormat="1" ht="51.75" customHeight="1">
      <c r="A3" s="166"/>
      <c r="B3" s="138"/>
      <c r="C3" s="152"/>
      <c r="D3" s="163"/>
      <c r="E3" s="163"/>
    </row>
    <row r="4" spans="1:5" s="83" customFormat="1" ht="102.75" customHeight="1">
      <c r="A4" s="166"/>
      <c r="B4" s="138"/>
      <c r="C4" s="102" t="s">
        <v>52</v>
      </c>
      <c r="D4" s="163"/>
      <c r="E4" s="163"/>
    </row>
    <row r="5" spans="1:5" s="83" customFormat="1" ht="65.25" customHeight="1">
      <c r="A5" s="166"/>
      <c r="B5" s="152" t="s">
        <v>73</v>
      </c>
      <c r="C5" s="164" t="s">
        <v>46</v>
      </c>
      <c r="D5" s="163"/>
      <c r="E5" s="163"/>
    </row>
    <row r="6" spans="1:5" s="83" customFormat="1" ht="64.5" customHeight="1" hidden="1">
      <c r="A6" s="166"/>
      <c r="B6" s="152"/>
      <c r="C6" s="165"/>
      <c r="D6" s="136"/>
      <c r="E6" s="136"/>
    </row>
    <row r="7" spans="1:6" s="6" customFormat="1" ht="15.75">
      <c r="A7" s="29">
        <v>1</v>
      </c>
      <c r="B7" s="27" t="s">
        <v>0</v>
      </c>
      <c r="C7" s="119">
        <v>38</v>
      </c>
      <c r="D7" s="120">
        <v>4259</v>
      </c>
      <c r="E7" s="58">
        <f>ROUNDDOWN(C7*D7/1000,1)</f>
        <v>161.8</v>
      </c>
      <c r="F7" s="56"/>
    </row>
    <row r="8" spans="1:6" s="6" customFormat="1" ht="15.75">
      <c r="A8" s="29">
        <v>2</v>
      </c>
      <c r="B8" s="27" t="s">
        <v>60</v>
      </c>
      <c r="C8" s="119">
        <v>97</v>
      </c>
      <c r="D8" s="120">
        <v>4259</v>
      </c>
      <c r="E8" s="58">
        <f aca="true" t="shared" si="0" ref="E8:E45">ROUNDDOWN(C8*D8/1000,1)</f>
        <v>413.1</v>
      </c>
      <c r="F8" s="56"/>
    </row>
    <row r="9" spans="1:6" s="6" customFormat="1" ht="15.75">
      <c r="A9" s="29">
        <v>3</v>
      </c>
      <c r="B9" s="27" t="s">
        <v>1</v>
      </c>
      <c r="C9" s="119">
        <v>38</v>
      </c>
      <c r="D9" s="120">
        <v>4259</v>
      </c>
      <c r="E9" s="58">
        <f t="shared" si="0"/>
        <v>161.8</v>
      </c>
      <c r="F9" s="56"/>
    </row>
    <row r="10" spans="1:6" s="6" customFormat="1" ht="15.75">
      <c r="A10" s="29">
        <v>4</v>
      </c>
      <c r="B10" s="27" t="s">
        <v>2</v>
      </c>
      <c r="C10" s="119">
        <v>45</v>
      </c>
      <c r="D10" s="120">
        <v>4259</v>
      </c>
      <c r="E10" s="58">
        <f t="shared" si="0"/>
        <v>191.6</v>
      </c>
      <c r="F10" s="56"/>
    </row>
    <row r="11" spans="1:6" s="6" customFormat="1" ht="15.75">
      <c r="A11" s="29">
        <v>5</v>
      </c>
      <c r="B11" s="27" t="s">
        <v>59</v>
      </c>
      <c r="C11" s="119">
        <v>44</v>
      </c>
      <c r="D11" s="120">
        <v>4259</v>
      </c>
      <c r="E11" s="58">
        <f t="shared" si="0"/>
        <v>187.3</v>
      </c>
      <c r="F11" s="56"/>
    </row>
    <row r="12" spans="1:6" s="6" customFormat="1" ht="15.75">
      <c r="A12" s="29">
        <v>6</v>
      </c>
      <c r="B12" s="27" t="s">
        <v>3</v>
      </c>
      <c r="C12" s="119">
        <v>21</v>
      </c>
      <c r="D12" s="120">
        <v>4259</v>
      </c>
      <c r="E12" s="58">
        <f t="shared" si="0"/>
        <v>89.4</v>
      </c>
      <c r="F12" s="56"/>
    </row>
    <row r="13" spans="1:6" s="6" customFormat="1" ht="15.75" customHeight="1">
      <c r="A13" s="29">
        <v>7</v>
      </c>
      <c r="B13" s="27" t="s">
        <v>4</v>
      </c>
      <c r="C13" s="119">
        <v>38</v>
      </c>
      <c r="D13" s="120">
        <v>4259</v>
      </c>
      <c r="E13" s="58">
        <f t="shared" si="0"/>
        <v>161.8</v>
      </c>
      <c r="F13" s="56"/>
    </row>
    <row r="14" spans="1:6" s="32" customFormat="1" ht="15.75">
      <c r="A14" s="30">
        <v>8</v>
      </c>
      <c r="B14" s="31" t="s">
        <v>5</v>
      </c>
      <c r="C14" s="130"/>
      <c r="D14" s="120">
        <v>4259</v>
      </c>
      <c r="E14" s="58">
        <f t="shared" si="0"/>
        <v>0</v>
      </c>
      <c r="F14" s="56"/>
    </row>
    <row r="15" spans="1:6" s="6" customFormat="1" ht="15.75">
      <c r="A15" s="29">
        <v>9</v>
      </c>
      <c r="B15" s="27" t="s">
        <v>6</v>
      </c>
      <c r="C15" s="119"/>
      <c r="D15" s="120">
        <v>4767</v>
      </c>
      <c r="E15" s="58">
        <f t="shared" si="0"/>
        <v>0</v>
      </c>
      <c r="F15" s="56"/>
    </row>
    <row r="16" spans="1:6" s="6" customFormat="1" ht="15.75">
      <c r="A16" s="30">
        <v>10</v>
      </c>
      <c r="B16" s="34" t="s">
        <v>7</v>
      </c>
      <c r="C16" s="119">
        <v>104</v>
      </c>
      <c r="D16" s="120">
        <v>4767</v>
      </c>
      <c r="E16" s="58">
        <f t="shared" si="0"/>
        <v>495.7</v>
      </c>
      <c r="F16" s="56"/>
    </row>
    <row r="17" spans="1:6" s="6" customFormat="1" ht="15.75">
      <c r="A17" s="29">
        <v>11</v>
      </c>
      <c r="B17" s="34" t="s">
        <v>8</v>
      </c>
      <c r="C17" s="119">
        <v>42</v>
      </c>
      <c r="D17" s="120">
        <v>4767</v>
      </c>
      <c r="E17" s="58">
        <f t="shared" si="0"/>
        <v>200.2</v>
      </c>
      <c r="F17" s="56"/>
    </row>
    <row r="18" spans="1:6" s="6" customFormat="1" ht="15.75">
      <c r="A18" s="30">
        <v>12</v>
      </c>
      <c r="B18" s="34" t="s">
        <v>9</v>
      </c>
      <c r="C18" s="119">
        <v>8</v>
      </c>
      <c r="D18" s="120">
        <v>4767</v>
      </c>
      <c r="E18" s="58">
        <f t="shared" si="0"/>
        <v>38.1</v>
      </c>
      <c r="F18" s="56"/>
    </row>
    <row r="19" spans="1:6" s="6" customFormat="1" ht="15.75">
      <c r="A19" s="29">
        <v>13</v>
      </c>
      <c r="B19" s="34" t="s">
        <v>10</v>
      </c>
      <c r="C19" s="119">
        <v>15</v>
      </c>
      <c r="D19" s="120">
        <v>4767</v>
      </c>
      <c r="E19" s="58">
        <f t="shared" si="0"/>
        <v>71.5</v>
      </c>
      <c r="F19" s="56"/>
    </row>
    <row r="20" spans="1:6" s="6" customFormat="1" ht="19.5" customHeight="1">
      <c r="A20" s="30">
        <v>14</v>
      </c>
      <c r="B20" s="34" t="s">
        <v>11</v>
      </c>
      <c r="C20" s="119">
        <v>4</v>
      </c>
      <c r="D20" s="120">
        <v>4767</v>
      </c>
      <c r="E20" s="58">
        <f t="shared" si="0"/>
        <v>19</v>
      </c>
      <c r="F20" s="56"/>
    </row>
    <row r="21" spans="1:6" s="6" customFormat="1" ht="15.75">
      <c r="A21" s="29">
        <v>15</v>
      </c>
      <c r="B21" s="34" t="s">
        <v>12</v>
      </c>
      <c r="C21" s="119">
        <v>2</v>
      </c>
      <c r="D21" s="120">
        <v>4767</v>
      </c>
      <c r="E21" s="58">
        <f t="shared" si="0"/>
        <v>9.5</v>
      </c>
      <c r="F21" s="56"/>
    </row>
    <row r="22" spans="1:6" s="38" customFormat="1" ht="15.75" customHeight="1">
      <c r="A22" s="30">
        <v>16</v>
      </c>
      <c r="B22" s="36" t="s">
        <v>13</v>
      </c>
      <c r="C22" s="119">
        <v>13</v>
      </c>
      <c r="D22" s="120">
        <v>4767</v>
      </c>
      <c r="E22" s="58">
        <f t="shared" si="0"/>
        <v>61.9</v>
      </c>
      <c r="F22" s="56"/>
    </row>
    <row r="23" spans="1:6" s="41" customFormat="1" ht="19.5" customHeight="1">
      <c r="A23" s="29">
        <v>17</v>
      </c>
      <c r="B23" s="36" t="s">
        <v>14</v>
      </c>
      <c r="C23" s="124"/>
      <c r="D23" s="120">
        <v>4767</v>
      </c>
      <c r="E23" s="58">
        <f t="shared" si="0"/>
        <v>0</v>
      </c>
      <c r="F23" s="56"/>
    </row>
    <row r="24" spans="1:6" s="6" customFormat="1" ht="15.75">
      <c r="A24" s="30">
        <v>18</v>
      </c>
      <c r="B24" s="34" t="s">
        <v>15</v>
      </c>
      <c r="C24" s="119"/>
      <c r="D24" s="120">
        <v>4767</v>
      </c>
      <c r="E24" s="58">
        <f t="shared" si="0"/>
        <v>0</v>
      </c>
      <c r="F24" s="56"/>
    </row>
    <row r="25" spans="1:6" s="38" customFormat="1" ht="21" customHeight="1">
      <c r="A25" s="29">
        <v>19</v>
      </c>
      <c r="B25" s="36" t="s">
        <v>16</v>
      </c>
      <c r="C25" s="119"/>
      <c r="D25" s="120">
        <v>4767</v>
      </c>
      <c r="E25" s="58">
        <f t="shared" si="0"/>
        <v>0</v>
      </c>
      <c r="F25" s="56"/>
    </row>
    <row r="26" spans="1:6" s="6" customFormat="1" ht="15.75">
      <c r="A26" s="30">
        <v>20</v>
      </c>
      <c r="B26" s="34" t="s">
        <v>17</v>
      </c>
      <c r="C26" s="119">
        <v>65</v>
      </c>
      <c r="D26" s="120">
        <v>4767</v>
      </c>
      <c r="E26" s="58">
        <f t="shared" si="0"/>
        <v>309.8</v>
      </c>
      <c r="F26" s="56"/>
    </row>
    <row r="27" spans="1:6" s="6" customFormat="1" ht="15.75">
      <c r="A27" s="29">
        <v>21</v>
      </c>
      <c r="B27" s="34" t="s">
        <v>18</v>
      </c>
      <c r="C27" s="119">
        <v>63</v>
      </c>
      <c r="D27" s="120">
        <v>4767</v>
      </c>
      <c r="E27" s="58">
        <f t="shared" si="0"/>
        <v>300.3</v>
      </c>
      <c r="F27" s="56"/>
    </row>
    <row r="28" spans="1:6" s="41" customFormat="1" ht="15" customHeight="1">
      <c r="A28" s="30">
        <v>22</v>
      </c>
      <c r="B28" s="36" t="s">
        <v>19</v>
      </c>
      <c r="C28" s="124">
        <v>7</v>
      </c>
      <c r="D28" s="120">
        <v>4767</v>
      </c>
      <c r="E28" s="58">
        <f t="shared" si="0"/>
        <v>33.3</v>
      </c>
      <c r="F28" s="56"/>
    </row>
    <row r="29" spans="1:6" s="38" customFormat="1" ht="18.75" customHeight="1">
      <c r="A29" s="29">
        <v>23</v>
      </c>
      <c r="B29" s="36" t="s">
        <v>20</v>
      </c>
      <c r="C29" s="119"/>
      <c r="D29" s="120">
        <v>4767</v>
      </c>
      <c r="E29" s="58">
        <f t="shared" si="0"/>
        <v>0</v>
      </c>
      <c r="F29" s="56"/>
    </row>
    <row r="30" spans="1:6" s="6" customFormat="1" ht="15.75">
      <c r="A30" s="30">
        <v>24</v>
      </c>
      <c r="B30" s="34" t="s">
        <v>21</v>
      </c>
      <c r="C30" s="119"/>
      <c r="D30" s="120">
        <v>4767</v>
      </c>
      <c r="E30" s="58">
        <f t="shared" si="0"/>
        <v>0</v>
      </c>
      <c r="F30" s="56"/>
    </row>
    <row r="31" spans="1:6" s="6" customFormat="1" ht="15.75">
      <c r="A31" s="29">
        <v>25</v>
      </c>
      <c r="B31" s="34" t="s">
        <v>22</v>
      </c>
      <c r="C31" s="119"/>
      <c r="D31" s="120">
        <v>4767</v>
      </c>
      <c r="E31" s="58">
        <f t="shared" si="0"/>
        <v>0</v>
      </c>
      <c r="F31" s="56"/>
    </row>
    <row r="32" spans="1:6" s="6" customFormat="1" ht="15.75">
      <c r="A32" s="30">
        <v>26</v>
      </c>
      <c r="B32" s="34" t="s">
        <v>23</v>
      </c>
      <c r="C32" s="119">
        <v>15</v>
      </c>
      <c r="D32" s="120">
        <v>4767</v>
      </c>
      <c r="E32" s="58">
        <f t="shared" si="0"/>
        <v>71.5</v>
      </c>
      <c r="F32" s="56"/>
    </row>
    <row r="33" spans="1:6" s="6" customFormat="1" ht="19.5" customHeight="1">
      <c r="A33" s="29">
        <v>27</v>
      </c>
      <c r="B33" s="34" t="s">
        <v>24</v>
      </c>
      <c r="C33" s="119">
        <v>25</v>
      </c>
      <c r="D33" s="120">
        <v>4767</v>
      </c>
      <c r="E33" s="58">
        <f t="shared" si="0"/>
        <v>119.1</v>
      </c>
      <c r="F33" s="56"/>
    </row>
    <row r="34" spans="1:6" s="6" customFormat="1" ht="18" customHeight="1">
      <c r="A34" s="30">
        <v>28</v>
      </c>
      <c r="B34" s="34" t="s">
        <v>25</v>
      </c>
      <c r="C34" s="119">
        <v>5</v>
      </c>
      <c r="D34" s="120">
        <v>4767</v>
      </c>
      <c r="E34" s="58">
        <f t="shared" si="0"/>
        <v>23.8</v>
      </c>
      <c r="F34" s="56"/>
    </row>
    <row r="35" spans="1:6" s="41" customFormat="1" ht="18.75" customHeight="1">
      <c r="A35" s="29">
        <v>29</v>
      </c>
      <c r="B35" s="36" t="s">
        <v>26</v>
      </c>
      <c r="C35" s="124">
        <v>2</v>
      </c>
      <c r="D35" s="120">
        <v>4767</v>
      </c>
      <c r="E35" s="58">
        <f t="shared" si="0"/>
        <v>9.5</v>
      </c>
      <c r="F35" s="56"/>
    </row>
    <row r="36" spans="1:6" s="6" customFormat="1" ht="24" customHeight="1">
      <c r="A36" s="30">
        <v>30</v>
      </c>
      <c r="B36" s="34" t="s">
        <v>27</v>
      </c>
      <c r="C36" s="124"/>
      <c r="D36" s="120">
        <v>4767</v>
      </c>
      <c r="E36" s="58">
        <f t="shared" si="0"/>
        <v>0</v>
      </c>
      <c r="F36" s="56"/>
    </row>
    <row r="37" spans="1:6" s="6" customFormat="1" ht="15.75">
      <c r="A37" s="29">
        <v>31</v>
      </c>
      <c r="B37" s="34" t="s">
        <v>28</v>
      </c>
      <c r="C37" s="119"/>
      <c r="D37" s="120">
        <v>4767</v>
      </c>
      <c r="E37" s="58">
        <f t="shared" si="0"/>
        <v>0</v>
      </c>
      <c r="F37" s="56"/>
    </row>
    <row r="38" spans="1:6" s="6" customFormat="1" ht="15.75">
      <c r="A38" s="30">
        <v>32</v>
      </c>
      <c r="B38" s="34" t="s">
        <v>29</v>
      </c>
      <c r="C38" s="119">
        <v>3</v>
      </c>
      <c r="D38" s="120">
        <v>4767</v>
      </c>
      <c r="E38" s="58">
        <f t="shared" si="0"/>
        <v>14.3</v>
      </c>
      <c r="F38" s="56"/>
    </row>
    <row r="39" spans="1:6" s="6" customFormat="1" ht="15.75">
      <c r="A39" s="29">
        <v>33</v>
      </c>
      <c r="B39" s="34" t="s">
        <v>30</v>
      </c>
      <c r="C39" s="119"/>
      <c r="D39" s="120">
        <v>4767</v>
      </c>
      <c r="E39" s="58">
        <f t="shared" si="0"/>
        <v>0</v>
      </c>
      <c r="F39" s="56"/>
    </row>
    <row r="40" spans="1:6" s="6" customFormat="1" ht="15.75">
      <c r="A40" s="30">
        <v>34</v>
      </c>
      <c r="B40" s="34" t="s">
        <v>31</v>
      </c>
      <c r="C40" s="119">
        <v>25</v>
      </c>
      <c r="D40" s="120">
        <v>4767</v>
      </c>
      <c r="E40" s="58">
        <f t="shared" si="0"/>
        <v>119.1</v>
      </c>
      <c r="F40" s="56"/>
    </row>
    <row r="41" spans="1:6" s="6" customFormat="1" ht="22.5" customHeight="1">
      <c r="A41" s="29">
        <v>35</v>
      </c>
      <c r="B41" s="34" t="s">
        <v>32</v>
      </c>
      <c r="C41" s="119"/>
      <c r="D41" s="120">
        <v>4767</v>
      </c>
      <c r="E41" s="58">
        <f t="shared" si="0"/>
        <v>0</v>
      </c>
      <c r="F41" s="56"/>
    </row>
    <row r="42" spans="1:6" s="6" customFormat="1" ht="21.75" customHeight="1">
      <c r="A42" s="30">
        <v>36</v>
      </c>
      <c r="B42" s="34" t="s">
        <v>33</v>
      </c>
      <c r="C42" s="119">
        <v>10</v>
      </c>
      <c r="D42" s="120">
        <v>4767</v>
      </c>
      <c r="E42" s="58">
        <f t="shared" si="0"/>
        <v>47.6</v>
      </c>
      <c r="F42" s="56"/>
    </row>
    <row r="43" spans="1:6" s="38" customFormat="1" ht="21" customHeight="1">
      <c r="A43" s="29">
        <v>37</v>
      </c>
      <c r="B43" s="36" t="s">
        <v>34</v>
      </c>
      <c r="C43" s="119"/>
      <c r="D43" s="120">
        <v>4767</v>
      </c>
      <c r="E43" s="58">
        <f t="shared" si="0"/>
        <v>0</v>
      </c>
      <c r="F43" s="56"/>
    </row>
    <row r="44" spans="1:6" s="38" customFormat="1" ht="15.75">
      <c r="A44" s="30">
        <v>38</v>
      </c>
      <c r="B44" s="36" t="s">
        <v>35</v>
      </c>
      <c r="C44" s="126"/>
      <c r="D44" s="120">
        <v>4767</v>
      </c>
      <c r="E44" s="58">
        <f t="shared" si="0"/>
        <v>0</v>
      </c>
      <c r="F44" s="56"/>
    </row>
    <row r="45" spans="1:6" s="6" customFormat="1" ht="16.5" thickBot="1">
      <c r="A45" s="29">
        <v>39</v>
      </c>
      <c r="B45" s="43" t="s">
        <v>36</v>
      </c>
      <c r="C45" s="128"/>
      <c r="D45" s="120">
        <v>4767</v>
      </c>
      <c r="E45" s="58">
        <f t="shared" si="0"/>
        <v>0</v>
      </c>
      <c r="F45" s="56"/>
    </row>
    <row r="46" spans="1:6" s="6" customFormat="1" ht="32.25" thickBot="1">
      <c r="A46" s="7"/>
      <c r="B46" s="80" t="s">
        <v>77</v>
      </c>
      <c r="C46" s="8">
        <f>SUM(C7:C45)</f>
        <v>729</v>
      </c>
      <c r="D46" s="131"/>
      <c r="E46" s="132">
        <f>SUM(E7:E45)</f>
        <v>3311.000000000001</v>
      </c>
      <c r="F46" s="56"/>
    </row>
    <row r="47" spans="1:3" s="6" customFormat="1" ht="57" customHeight="1">
      <c r="A47" s="9"/>
      <c r="B47" s="10" t="s">
        <v>71</v>
      </c>
      <c r="C47" s="59"/>
    </row>
    <row r="48" spans="1:3" s="6" customFormat="1" ht="15.75">
      <c r="A48" s="12"/>
      <c r="B48" s="13"/>
      <c r="C48" s="59"/>
    </row>
    <row r="49" spans="1:3" s="6" customFormat="1" ht="15.75">
      <c r="A49" s="12"/>
      <c r="B49" s="13"/>
      <c r="C49" s="59"/>
    </row>
    <row r="50" spans="1:2" s="6" customFormat="1" ht="15.75">
      <c r="A50" s="12"/>
      <c r="B50" s="13"/>
    </row>
    <row r="51" spans="1:2" s="6" customFormat="1" ht="15.75">
      <c r="A51" s="12"/>
      <c r="B51" s="13"/>
    </row>
    <row r="52" spans="1:2" s="6" customFormat="1" ht="15.75">
      <c r="A52" s="12"/>
      <c r="B52" s="15"/>
    </row>
    <row r="53" spans="1:2" s="6" customFormat="1" ht="15.75">
      <c r="A53" s="12"/>
      <c r="B53" s="15"/>
    </row>
    <row r="54" spans="1:2" s="6" customFormat="1" ht="16.5" customHeight="1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3"/>
    </row>
    <row r="60" spans="1:2" s="6" customFormat="1" ht="15.75">
      <c r="A60" s="12"/>
      <c r="B60" s="16"/>
    </row>
    <row r="61" spans="1:2" s="18" customFormat="1" ht="16.5" customHeight="1">
      <c r="A61" s="153"/>
      <c r="B61" s="153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5.75">
      <c r="A65" s="12"/>
      <c r="B65" s="15"/>
    </row>
    <row r="66" spans="1:2" ht="18" customHeight="1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5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12"/>
      <c r="B105" s="13"/>
    </row>
    <row r="106" spans="1:2" ht="15.75">
      <c r="A106" s="20"/>
      <c r="B106" s="21"/>
    </row>
    <row r="107" spans="1:2" ht="18.75">
      <c r="A107" s="22"/>
      <c r="B107" s="22"/>
    </row>
    <row r="108" spans="1:2" ht="12.75">
      <c r="A108" s="20"/>
      <c r="B108" s="20"/>
    </row>
  </sheetData>
  <sheetProtection/>
  <mergeCells count="9">
    <mergeCell ref="D2:D5"/>
    <mergeCell ref="E2:E5"/>
    <mergeCell ref="C5:C6"/>
    <mergeCell ref="A61:B61"/>
    <mergeCell ref="A1:B1"/>
    <mergeCell ref="A2:A6"/>
    <mergeCell ref="B2:B4"/>
    <mergeCell ref="B5:B6"/>
    <mergeCell ref="C2:C3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71" zoomScaleNormal="74" zoomScaleSheetLayoutView="71" zoomScalePageLayoutView="0" workbookViewId="0" topLeftCell="A1">
      <selection activeCell="J39" sqref="J39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31.7109375" style="19" customWidth="1"/>
    <col min="4" max="4" width="25.00390625" style="19" customWidth="1"/>
    <col min="5" max="5" width="24.28125" style="19" customWidth="1"/>
    <col min="6" max="16384" width="9.140625" style="19" customWidth="1"/>
  </cols>
  <sheetData>
    <row r="1" spans="1:5" s="6" customFormat="1" ht="18.75">
      <c r="A1" s="161"/>
      <c r="B1" s="161"/>
      <c r="E1" s="6" t="s">
        <v>93</v>
      </c>
    </row>
    <row r="2" spans="1:5" s="83" customFormat="1" ht="15.75" customHeight="1">
      <c r="A2" s="166" t="s">
        <v>81</v>
      </c>
      <c r="B2" s="137" t="s">
        <v>74</v>
      </c>
      <c r="C2" s="152" t="s">
        <v>83</v>
      </c>
      <c r="D2" s="140" t="s">
        <v>61</v>
      </c>
      <c r="E2" s="140" t="s">
        <v>84</v>
      </c>
    </row>
    <row r="3" spans="1:5" s="83" customFormat="1" ht="51.75" customHeight="1">
      <c r="A3" s="166"/>
      <c r="B3" s="138"/>
      <c r="C3" s="152"/>
      <c r="D3" s="140"/>
      <c r="E3" s="140"/>
    </row>
    <row r="4" spans="1:5" s="83" customFormat="1" ht="102.75" customHeight="1">
      <c r="A4" s="166"/>
      <c r="B4" s="138"/>
      <c r="C4" s="91" t="s">
        <v>51</v>
      </c>
      <c r="D4" s="140"/>
      <c r="E4" s="140"/>
    </row>
    <row r="5" spans="1:5" s="83" customFormat="1" ht="65.25" customHeight="1">
      <c r="A5" s="166"/>
      <c r="B5" s="89" t="s">
        <v>73</v>
      </c>
      <c r="C5" s="90" t="s">
        <v>46</v>
      </c>
      <c r="D5" s="140"/>
      <c r="E5" s="140"/>
    </row>
    <row r="6" spans="1:5" s="6" customFormat="1" ht="15.75">
      <c r="A6" s="26">
        <v>1</v>
      </c>
      <c r="B6" s="27" t="s">
        <v>0</v>
      </c>
      <c r="C6" s="28">
        <v>407</v>
      </c>
      <c r="D6" s="60">
        <v>471</v>
      </c>
      <c r="E6" s="65">
        <f>ROUNDDOWN(C6*D6/1000,1)</f>
        <v>191.6</v>
      </c>
    </row>
    <row r="7" spans="1:5" s="6" customFormat="1" ht="15.75">
      <c r="A7" s="29">
        <v>2</v>
      </c>
      <c r="B7" s="27" t="s">
        <v>60</v>
      </c>
      <c r="C7" s="28">
        <v>368</v>
      </c>
      <c r="D7" s="60">
        <v>471</v>
      </c>
      <c r="E7" s="65">
        <f aca="true" t="shared" si="0" ref="E7:E44">ROUNDDOWN(C7*D7/1000,1)</f>
        <v>173.3</v>
      </c>
    </row>
    <row r="8" spans="1:5" s="6" customFormat="1" ht="15.75">
      <c r="A8" s="29">
        <v>3</v>
      </c>
      <c r="B8" s="27" t="s">
        <v>1</v>
      </c>
      <c r="C8" s="28">
        <v>310</v>
      </c>
      <c r="D8" s="60">
        <v>471</v>
      </c>
      <c r="E8" s="65">
        <f t="shared" si="0"/>
        <v>146</v>
      </c>
    </row>
    <row r="9" spans="1:5" s="6" customFormat="1" ht="15.75">
      <c r="A9" s="29">
        <v>4</v>
      </c>
      <c r="B9" s="27" t="s">
        <v>2</v>
      </c>
      <c r="C9" s="28">
        <v>224</v>
      </c>
      <c r="D9" s="60">
        <v>471</v>
      </c>
      <c r="E9" s="65">
        <f t="shared" si="0"/>
        <v>105.5</v>
      </c>
    </row>
    <row r="10" spans="1:5" s="6" customFormat="1" ht="15.75">
      <c r="A10" s="29">
        <v>5</v>
      </c>
      <c r="B10" s="27" t="s">
        <v>59</v>
      </c>
      <c r="C10" s="28">
        <v>20</v>
      </c>
      <c r="D10" s="60">
        <v>471</v>
      </c>
      <c r="E10" s="65">
        <f t="shared" si="0"/>
        <v>9.4</v>
      </c>
    </row>
    <row r="11" spans="1:5" s="6" customFormat="1" ht="15.75">
      <c r="A11" s="29">
        <v>6</v>
      </c>
      <c r="B11" s="27" t="s">
        <v>3</v>
      </c>
      <c r="C11" s="28">
        <v>52</v>
      </c>
      <c r="D11" s="60">
        <v>471</v>
      </c>
      <c r="E11" s="65">
        <f t="shared" si="0"/>
        <v>24.4</v>
      </c>
    </row>
    <row r="12" spans="1:5" s="6" customFormat="1" ht="15.75" customHeight="1">
      <c r="A12" s="29">
        <v>7</v>
      </c>
      <c r="B12" s="27" t="s">
        <v>4</v>
      </c>
      <c r="C12" s="28">
        <v>831</v>
      </c>
      <c r="D12" s="60">
        <v>471</v>
      </c>
      <c r="E12" s="65">
        <f t="shared" si="0"/>
        <v>391.4</v>
      </c>
    </row>
    <row r="13" spans="1:5" s="32" customFormat="1" ht="15.75">
      <c r="A13" s="30">
        <v>8</v>
      </c>
      <c r="B13" s="31" t="s">
        <v>5</v>
      </c>
      <c r="C13" s="28">
        <v>165</v>
      </c>
      <c r="D13" s="60">
        <v>471</v>
      </c>
      <c r="E13" s="65">
        <f t="shared" si="0"/>
        <v>77.7</v>
      </c>
    </row>
    <row r="14" spans="1:5" s="6" customFormat="1" ht="15.75">
      <c r="A14" s="29">
        <v>9</v>
      </c>
      <c r="B14" s="27" t="s">
        <v>6</v>
      </c>
      <c r="C14" s="28">
        <v>37</v>
      </c>
      <c r="D14" s="60">
        <v>1366</v>
      </c>
      <c r="E14" s="65">
        <f t="shared" si="0"/>
        <v>50.5</v>
      </c>
    </row>
    <row r="15" spans="1:5" s="6" customFormat="1" ht="15.75">
      <c r="A15" s="30">
        <v>10</v>
      </c>
      <c r="B15" s="34" t="s">
        <v>7</v>
      </c>
      <c r="C15" s="28">
        <v>183</v>
      </c>
      <c r="D15" s="60">
        <v>1366</v>
      </c>
      <c r="E15" s="65">
        <f t="shared" si="0"/>
        <v>249.9</v>
      </c>
    </row>
    <row r="16" spans="1:5" s="6" customFormat="1" ht="15.75">
      <c r="A16" s="29">
        <v>11</v>
      </c>
      <c r="B16" s="34" t="s">
        <v>8</v>
      </c>
      <c r="C16" s="28">
        <v>98</v>
      </c>
      <c r="D16" s="60">
        <v>1366</v>
      </c>
      <c r="E16" s="65">
        <f t="shared" si="0"/>
        <v>133.8</v>
      </c>
    </row>
    <row r="17" spans="1:5" s="6" customFormat="1" ht="15.75">
      <c r="A17" s="30">
        <v>12</v>
      </c>
      <c r="B17" s="34" t="s">
        <v>9</v>
      </c>
      <c r="C17" s="28">
        <v>234</v>
      </c>
      <c r="D17" s="60">
        <v>1366</v>
      </c>
      <c r="E17" s="65">
        <f t="shared" si="0"/>
        <v>319.6</v>
      </c>
    </row>
    <row r="18" spans="1:5" s="6" customFormat="1" ht="15.75">
      <c r="A18" s="29">
        <v>13</v>
      </c>
      <c r="B18" s="34" t="s">
        <v>10</v>
      </c>
      <c r="C18" s="28">
        <v>633</v>
      </c>
      <c r="D18" s="60">
        <v>1366</v>
      </c>
      <c r="E18" s="65">
        <f t="shared" si="0"/>
        <v>864.6</v>
      </c>
    </row>
    <row r="19" spans="1:5" s="6" customFormat="1" ht="19.5" customHeight="1">
      <c r="A19" s="30">
        <v>14</v>
      </c>
      <c r="B19" s="34" t="s">
        <v>11</v>
      </c>
      <c r="C19" s="28">
        <v>68</v>
      </c>
      <c r="D19" s="60">
        <v>1366</v>
      </c>
      <c r="E19" s="65">
        <f t="shared" si="0"/>
        <v>92.8</v>
      </c>
    </row>
    <row r="20" spans="1:5" s="6" customFormat="1" ht="15.75">
      <c r="A20" s="29">
        <v>15</v>
      </c>
      <c r="B20" s="34" t="s">
        <v>12</v>
      </c>
      <c r="C20" s="28">
        <v>180</v>
      </c>
      <c r="D20" s="60">
        <v>1366</v>
      </c>
      <c r="E20" s="65">
        <f t="shared" si="0"/>
        <v>245.8</v>
      </c>
    </row>
    <row r="21" spans="1:5" s="38" customFormat="1" ht="25.5" customHeight="1">
      <c r="A21" s="30">
        <v>16</v>
      </c>
      <c r="B21" s="36" t="s">
        <v>13</v>
      </c>
      <c r="C21" s="28">
        <v>157</v>
      </c>
      <c r="D21" s="60">
        <v>1366</v>
      </c>
      <c r="E21" s="65">
        <f t="shared" si="0"/>
        <v>214.4</v>
      </c>
    </row>
    <row r="22" spans="1:5" s="41" customFormat="1" ht="19.5" customHeight="1">
      <c r="A22" s="29">
        <v>17</v>
      </c>
      <c r="B22" s="36" t="s">
        <v>14</v>
      </c>
      <c r="C22" s="39">
        <v>27</v>
      </c>
      <c r="D22" s="60">
        <v>1366</v>
      </c>
      <c r="E22" s="65">
        <f t="shared" si="0"/>
        <v>36.8</v>
      </c>
    </row>
    <row r="23" spans="1:5" s="6" customFormat="1" ht="15.75">
      <c r="A23" s="30">
        <v>18</v>
      </c>
      <c r="B23" s="34" t="s">
        <v>15</v>
      </c>
      <c r="C23" s="28">
        <v>70</v>
      </c>
      <c r="D23" s="60">
        <v>1366</v>
      </c>
      <c r="E23" s="65">
        <f t="shared" si="0"/>
        <v>95.6</v>
      </c>
    </row>
    <row r="24" spans="1:5" s="38" customFormat="1" ht="21" customHeight="1">
      <c r="A24" s="29">
        <v>19</v>
      </c>
      <c r="B24" s="36" t="s">
        <v>16</v>
      </c>
      <c r="C24" s="28">
        <v>245</v>
      </c>
      <c r="D24" s="60">
        <v>1366</v>
      </c>
      <c r="E24" s="65">
        <f t="shared" si="0"/>
        <v>334.6</v>
      </c>
    </row>
    <row r="25" spans="1:5" s="6" customFormat="1" ht="15.75">
      <c r="A25" s="30">
        <v>20</v>
      </c>
      <c r="B25" s="34" t="s">
        <v>17</v>
      </c>
      <c r="C25" s="28">
        <v>180</v>
      </c>
      <c r="D25" s="60">
        <v>1366</v>
      </c>
      <c r="E25" s="65">
        <f t="shared" si="0"/>
        <v>245.8</v>
      </c>
    </row>
    <row r="26" spans="1:5" s="6" customFormat="1" ht="15.75">
      <c r="A26" s="29">
        <v>21</v>
      </c>
      <c r="B26" s="34" t="s">
        <v>18</v>
      </c>
      <c r="C26" s="28">
        <v>63</v>
      </c>
      <c r="D26" s="60">
        <v>1366</v>
      </c>
      <c r="E26" s="65">
        <f t="shared" si="0"/>
        <v>86</v>
      </c>
    </row>
    <row r="27" spans="1:5" s="41" customFormat="1" ht="15" customHeight="1">
      <c r="A27" s="30">
        <v>22</v>
      </c>
      <c r="B27" s="36" t="s">
        <v>19</v>
      </c>
      <c r="C27" s="39">
        <v>260</v>
      </c>
      <c r="D27" s="60">
        <v>1366</v>
      </c>
      <c r="E27" s="65">
        <f t="shared" si="0"/>
        <v>355.1</v>
      </c>
    </row>
    <row r="28" spans="1:5" s="38" customFormat="1" ht="18.75" customHeight="1">
      <c r="A28" s="29">
        <v>23</v>
      </c>
      <c r="B28" s="36" t="s">
        <v>20</v>
      </c>
      <c r="C28" s="28">
        <v>22</v>
      </c>
      <c r="D28" s="60">
        <v>1366</v>
      </c>
      <c r="E28" s="65">
        <f t="shared" si="0"/>
        <v>30</v>
      </c>
    </row>
    <row r="29" spans="1:5" s="6" customFormat="1" ht="15.75">
      <c r="A29" s="30">
        <v>24</v>
      </c>
      <c r="B29" s="34" t="s">
        <v>21</v>
      </c>
      <c r="C29" s="28">
        <v>39</v>
      </c>
      <c r="D29" s="60">
        <v>1366</v>
      </c>
      <c r="E29" s="65">
        <f t="shared" si="0"/>
        <v>53.2</v>
      </c>
    </row>
    <row r="30" spans="1:5" s="6" customFormat="1" ht="15.75">
      <c r="A30" s="29">
        <v>25</v>
      </c>
      <c r="B30" s="34" t="s">
        <v>22</v>
      </c>
      <c r="C30" s="28">
        <v>40</v>
      </c>
      <c r="D30" s="60">
        <v>1366</v>
      </c>
      <c r="E30" s="65">
        <f t="shared" si="0"/>
        <v>54.6</v>
      </c>
    </row>
    <row r="31" spans="1:5" s="6" customFormat="1" ht="15.75">
      <c r="A31" s="30">
        <v>26</v>
      </c>
      <c r="B31" s="34" t="s">
        <v>23</v>
      </c>
      <c r="C31" s="28">
        <v>112</v>
      </c>
      <c r="D31" s="60">
        <v>1366</v>
      </c>
      <c r="E31" s="65">
        <f t="shared" si="0"/>
        <v>152.9</v>
      </c>
    </row>
    <row r="32" spans="1:5" s="6" customFormat="1" ht="19.5" customHeight="1">
      <c r="A32" s="29">
        <v>27</v>
      </c>
      <c r="B32" s="34" t="s">
        <v>24</v>
      </c>
      <c r="C32" s="28">
        <v>113</v>
      </c>
      <c r="D32" s="60">
        <v>1366</v>
      </c>
      <c r="E32" s="65">
        <f t="shared" si="0"/>
        <v>154.3</v>
      </c>
    </row>
    <row r="33" spans="1:5" s="6" customFormat="1" ht="18" customHeight="1">
      <c r="A33" s="30">
        <v>28</v>
      </c>
      <c r="B33" s="34" t="s">
        <v>25</v>
      </c>
      <c r="C33" s="28">
        <v>53</v>
      </c>
      <c r="D33" s="60">
        <v>1366</v>
      </c>
      <c r="E33" s="65">
        <f t="shared" si="0"/>
        <v>72.3</v>
      </c>
    </row>
    <row r="34" spans="1:5" s="41" customFormat="1" ht="18.75" customHeight="1">
      <c r="A34" s="29">
        <v>29</v>
      </c>
      <c r="B34" s="36" t="s">
        <v>26</v>
      </c>
      <c r="C34" s="39">
        <v>40</v>
      </c>
      <c r="D34" s="60">
        <v>1366</v>
      </c>
      <c r="E34" s="65">
        <f t="shared" si="0"/>
        <v>54.6</v>
      </c>
    </row>
    <row r="35" spans="1:5" s="6" customFormat="1" ht="24" customHeight="1">
      <c r="A35" s="30">
        <v>30</v>
      </c>
      <c r="B35" s="34" t="s">
        <v>27</v>
      </c>
      <c r="C35" s="28">
        <v>43</v>
      </c>
      <c r="D35" s="60">
        <v>1366</v>
      </c>
      <c r="E35" s="65">
        <f t="shared" si="0"/>
        <v>58.7</v>
      </c>
    </row>
    <row r="36" spans="1:5" s="6" customFormat="1" ht="15.75">
      <c r="A36" s="29">
        <v>31</v>
      </c>
      <c r="B36" s="34" t="s">
        <v>28</v>
      </c>
      <c r="C36" s="28">
        <v>108</v>
      </c>
      <c r="D36" s="60">
        <v>1366</v>
      </c>
      <c r="E36" s="65">
        <f t="shared" si="0"/>
        <v>147.5</v>
      </c>
    </row>
    <row r="37" spans="1:5" s="6" customFormat="1" ht="15.75">
      <c r="A37" s="30">
        <v>32</v>
      </c>
      <c r="B37" s="34" t="s">
        <v>29</v>
      </c>
      <c r="C37" s="28">
        <v>70</v>
      </c>
      <c r="D37" s="60">
        <v>1366</v>
      </c>
      <c r="E37" s="65">
        <f t="shared" si="0"/>
        <v>95.6</v>
      </c>
    </row>
    <row r="38" spans="1:5" s="6" customFormat="1" ht="15.75">
      <c r="A38" s="29">
        <v>33</v>
      </c>
      <c r="B38" s="34" t="s">
        <v>30</v>
      </c>
      <c r="C38" s="28">
        <v>40</v>
      </c>
      <c r="D38" s="60">
        <v>1366</v>
      </c>
      <c r="E38" s="65">
        <f t="shared" si="0"/>
        <v>54.6</v>
      </c>
    </row>
    <row r="39" spans="1:5" s="6" customFormat="1" ht="15.75">
      <c r="A39" s="30">
        <v>34</v>
      </c>
      <c r="B39" s="34" t="s">
        <v>31</v>
      </c>
      <c r="C39" s="28">
        <v>118</v>
      </c>
      <c r="D39" s="60">
        <v>1366</v>
      </c>
      <c r="E39" s="65">
        <f t="shared" si="0"/>
        <v>161.1</v>
      </c>
    </row>
    <row r="40" spans="1:5" s="6" customFormat="1" ht="22.5" customHeight="1">
      <c r="A40" s="29">
        <v>35</v>
      </c>
      <c r="B40" s="34" t="s">
        <v>32</v>
      </c>
      <c r="C40" s="28">
        <v>7</v>
      </c>
      <c r="D40" s="60">
        <v>1366</v>
      </c>
      <c r="E40" s="65">
        <f t="shared" si="0"/>
        <v>9.5</v>
      </c>
    </row>
    <row r="41" spans="1:5" s="6" customFormat="1" ht="21.75" customHeight="1">
      <c r="A41" s="30">
        <v>36</v>
      </c>
      <c r="B41" s="34" t="s">
        <v>33</v>
      </c>
      <c r="C41" s="28">
        <v>180</v>
      </c>
      <c r="D41" s="60">
        <v>1366</v>
      </c>
      <c r="E41" s="65">
        <f t="shared" si="0"/>
        <v>245.8</v>
      </c>
    </row>
    <row r="42" spans="1:5" s="38" customFormat="1" ht="21" customHeight="1">
      <c r="A42" s="29">
        <v>37</v>
      </c>
      <c r="B42" s="36" t="s">
        <v>34</v>
      </c>
      <c r="C42" s="28">
        <v>85</v>
      </c>
      <c r="D42" s="60">
        <v>1366</v>
      </c>
      <c r="E42" s="65">
        <f t="shared" si="0"/>
        <v>116.1</v>
      </c>
    </row>
    <row r="43" spans="1:5" s="38" customFormat="1" ht="15.75">
      <c r="A43" s="30">
        <v>38</v>
      </c>
      <c r="B43" s="36" t="s">
        <v>35</v>
      </c>
      <c r="C43" s="42">
        <v>45</v>
      </c>
      <c r="D43" s="60">
        <v>1366</v>
      </c>
      <c r="E43" s="65">
        <f t="shared" si="0"/>
        <v>61.4</v>
      </c>
    </row>
    <row r="44" spans="1:5" s="6" customFormat="1" ht="16.5" thickBot="1">
      <c r="A44" s="29">
        <v>39</v>
      </c>
      <c r="B44" s="43" t="s">
        <v>36</v>
      </c>
      <c r="C44" s="126">
        <v>28</v>
      </c>
      <c r="D44" s="60">
        <v>1366</v>
      </c>
      <c r="E44" s="65">
        <f t="shared" si="0"/>
        <v>38.2</v>
      </c>
    </row>
    <row r="45" spans="1:5" s="6" customFormat="1" ht="32.25" thickBot="1">
      <c r="A45" s="7"/>
      <c r="B45" s="133" t="s">
        <v>77</v>
      </c>
      <c r="C45" s="134">
        <f>SUM(C6:C44)</f>
        <v>5955</v>
      </c>
      <c r="D45" s="3"/>
      <c r="E45" s="55">
        <f>SUM(E6:E44)</f>
        <v>6005.000000000002</v>
      </c>
    </row>
    <row r="46" spans="1:5" s="6" customFormat="1" ht="18" customHeight="1">
      <c r="A46" s="9"/>
      <c r="B46" s="63"/>
      <c r="C46" s="61">
        <f>SUM(C6:C13)</f>
        <v>2377</v>
      </c>
      <c r="D46" s="64">
        <f>C46/8</f>
        <v>297.125</v>
      </c>
      <c r="E46" s="56"/>
    </row>
    <row r="47" spans="1:4" s="6" customFormat="1" ht="15.75">
      <c r="A47" s="12"/>
      <c r="B47" s="63" t="s">
        <v>64</v>
      </c>
      <c r="D47" s="61"/>
    </row>
    <row r="48" spans="1:4" s="6" customFormat="1" ht="15.75">
      <c r="A48" s="12"/>
      <c r="B48" s="13" t="s">
        <v>65</v>
      </c>
      <c r="C48" s="62">
        <f>C45-C46</f>
        <v>3578</v>
      </c>
      <c r="D48" s="64">
        <f>C48/31</f>
        <v>115.41935483870968</v>
      </c>
    </row>
    <row r="49" spans="1:2" s="6" customFormat="1" ht="15.75">
      <c r="A49" s="12"/>
      <c r="B49" s="13"/>
    </row>
    <row r="50" spans="1:2" s="6" customFormat="1" ht="15.75">
      <c r="A50" s="12"/>
      <c r="B50" s="13"/>
    </row>
    <row r="51" spans="1:2" s="6" customFormat="1" ht="15.75">
      <c r="A51" s="12"/>
      <c r="B51" s="15"/>
    </row>
    <row r="52" spans="1:2" s="6" customFormat="1" ht="15.75">
      <c r="A52" s="12"/>
      <c r="B52" s="15"/>
    </row>
    <row r="53" spans="1:2" s="6" customFormat="1" ht="16.5" customHeight="1">
      <c r="A53" s="12"/>
      <c r="B53" s="13"/>
    </row>
    <row r="54" spans="1:2" s="6" customFormat="1" ht="15.75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6"/>
    </row>
    <row r="60" spans="1:2" s="18" customFormat="1" ht="16.5" customHeight="1">
      <c r="A60" s="153"/>
      <c r="B60" s="153"/>
    </row>
    <row r="61" spans="1:2" ht="15.75">
      <c r="A61" s="12"/>
      <c r="B61" s="15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8" customHeight="1">
      <c r="A65" s="12"/>
      <c r="B65" s="15"/>
    </row>
    <row r="66" spans="1:2" ht="15.75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3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20"/>
      <c r="B105" s="21"/>
    </row>
    <row r="106" spans="1:2" ht="18.75">
      <c r="A106" s="22"/>
      <c r="B106" s="22"/>
    </row>
    <row r="107" spans="1:2" ht="12.75">
      <c r="A107" s="20"/>
      <c r="B107" s="20"/>
    </row>
  </sheetData>
  <sheetProtection/>
  <mergeCells count="7">
    <mergeCell ref="C2:C3"/>
    <mergeCell ref="D2:D5"/>
    <mergeCell ref="E2:E5"/>
    <mergeCell ref="A60:B60"/>
    <mergeCell ref="A1:B1"/>
    <mergeCell ref="A2:A5"/>
    <mergeCell ref="B2:B4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="60" zoomScaleNormal="79" zoomScalePageLayoutView="0" workbookViewId="0" topLeftCell="A1">
      <selection activeCell="B3" sqref="B3:B5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35.421875" style="19" customWidth="1"/>
    <col min="4" max="4" width="41.140625" style="19" customWidth="1"/>
    <col min="5" max="5" width="19.421875" style="19" customWidth="1"/>
    <col min="6" max="6" width="16.421875" style="19" customWidth="1"/>
    <col min="7" max="16384" width="9.140625" style="19" customWidth="1"/>
  </cols>
  <sheetData>
    <row r="1" spans="1:6" s="6" customFormat="1" ht="18.75">
      <c r="A1" s="161"/>
      <c r="B1" s="161"/>
      <c r="E1" s="169" t="s">
        <v>94</v>
      </c>
      <c r="F1" s="169"/>
    </row>
    <row r="2" spans="1:2" s="6" customFormat="1" ht="15.75">
      <c r="A2" s="1"/>
      <c r="B2" s="1"/>
    </row>
    <row r="3" spans="1:6" s="83" customFormat="1" ht="51.75" customHeight="1">
      <c r="A3" s="166" t="s">
        <v>37</v>
      </c>
      <c r="B3" s="137" t="s">
        <v>74</v>
      </c>
      <c r="C3" s="152" t="s">
        <v>66</v>
      </c>
      <c r="D3" s="152"/>
      <c r="E3" s="140" t="s">
        <v>85</v>
      </c>
      <c r="F3" s="140" t="s">
        <v>86</v>
      </c>
    </row>
    <row r="4" spans="1:6" s="83" customFormat="1" ht="102.75" customHeight="1">
      <c r="A4" s="166"/>
      <c r="B4" s="138"/>
      <c r="C4" s="167" t="s">
        <v>67</v>
      </c>
      <c r="D4" s="168"/>
      <c r="E4" s="140"/>
      <c r="F4" s="140"/>
    </row>
    <row r="5" spans="1:6" s="83" customFormat="1" ht="64.5" customHeight="1">
      <c r="A5" s="101"/>
      <c r="B5" s="138"/>
      <c r="C5" s="85" t="s">
        <v>68</v>
      </c>
      <c r="D5" s="85" t="s">
        <v>69</v>
      </c>
      <c r="E5" s="140"/>
      <c r="F5" s="140"/>
    </row>
    <row r="6" spans="1:6" s="6" customFormat="1" ht="15.75">
      <c r="A6" s="26">
        <v>1</v>
      </c>
      <c r="B6" s="27" t="s">
        <v>0</v>
      </c>
      <c r="C6" s="119">
        <v>37</v>
      </c>
      <c r="D6" s="119">
        <v>407</v>
      </c>
      <c r="E6" s="135">
        <v>804</v>
      </c>
      <c r="F6" s="92">
        <f>ROUND(C6*E6/1000,1)</f>
        <v>29.7</v>
      </c>
    </row>
    <row r="7" spans="1:6" s="6" customFormat="1" ht="15.75">
      <c r="A7" s="29">
        <v>2</v>
      </c>
      <c r="B7" s="27" t="s">
        <v>60</v>
      </c>
      <c r="C7" s="119">
        <v>38</v>
      </c>
      <c r="D7" s="126">
        <v>733</v>
      </c>
      <c r="E7" s="135">
        <v>804</v>
      </c>
      <c r="F7" s="92">
        <f aca="true" t="shared" si="0" ref="F7:F44">ROUND(C7*E7/1000,1)</f>
        <v>30.6</v>
      </c>
    </row>
    <row r="8" spans="1:6" s="6" customFormat="1" ht="15.75">
      <c r="A8" s="29">
        <v>3</v>
      </c>
      <c r="B8" s="27" t="s">
        <v>1</v>
      </c>
      <c r="C8" s="119">
        <v>30</v>
      </c>
      <c r="D8" s="119">
        <v>630</v>
      </c>
      <c r="E8" s="135">
        <v>804</v>
      </c>
      <c r="F8" s="92">
        <f t="shared" si="0"/>
        <v>24.1</v>
      </c>
    </row>
    <row r="9" spans="1:6" s="6" customFormat="1" ht="15.75">
      <c r="A9" s="29">
        <v>4</v>
      </c>
      <c r="B9" s="27" t="s">
        <v>2</v>
      </c>
      <c r="C9" s="119">
        <v>57</v>
      </c>
      <c r="D9" s="119">
        <v>446</v>
      </c>
      <c r="E9" s="135">
        <v>804</v>
      </c>
      <c r="F9" s="92">
        <f t="shared" si="0"/>
        <v>45.8</v>
      </c>
    </row>
    <row r="10" spans="1:6" s="6" customFormat="1" ht="15.75">
      <c r="A10" s="29">
        <v>5</v>
      </c>
      <c r="B10" s="27" t="s">
        <v>59</v>
      </c>
      <c r="C10" s="28">
        <v>25</v>
      </c>
      <c r="D10" s="119">
        <v>150</v>
      </c>
      <c r="E10" s="135">
        <v>804</v>
      </c>
      <c r="F10" s="92">
        <f>ROUND(C10*E10/1000,1)+1.2</f>
        <v>21.3</v>
      </c>
    </row>
    <row r="11" spans="1:6" s="6" customFormat="1" ht="15.75">
      <c r="A11" s="29">
        <v>6</v>
      </c>
      <c r="B11" s="27" t="s">
        <v>3</v>
      </c>
      <c r="C11" s="119">
        <v>170</v>
      </c>
      <c r="D11" s="119">
        <v>703</v>
      </c>
      <c r="E11" s="135">
        <v>804</v>
      </c>
      <c r="F11" s="92">
        <f t="shared" si="0"/>
        <v>136.7</v>
      </c>
    </row>
    <row r="12" spans="1:6" s="6" customFormat="1" ht="15.75" customHeight="1">
      <c r="A12" s="29">
        <v>7</v>
      </c>
      <c r="B12" s="27" t="s">
        <v>4</v>
      </c>
      <c r="C12" s="119">
        <v>45</v>
      </c>
      <c r="D12" s="119">
        <v>700</v>
      </c>
      <c r="E12" s="135">
        <v>804</v>
      </c>
      <c r="F12" s="92">
        <f t="shared" si="0"/>
        <v>36.2</v>
      </c>
    </row>
    <row r="13" spans="1:6" s="32" customFormat="1" ht="15.75">
      <c r="A13" s="30">
        <v>8</v>
      </c>
      <c r="B13" s="31" t="s">
        <v>5</v>
      </c>
      <c r="C13" s="119">
        <v>15</v>
      </c>
      <c r="D13" s="119">
        <v>361</v>
      </c>
      <c r="E13" s="135">
        <v>804</v>
      </c>
      <c r="F13" s="92">
        <f t="shared" si="0"/>
        <v>12.1</v>
      </c>
    </row>
    <row r="14" spans="1:6" s="6" customFormat="1" ht="15.75">
      <c r="A14" s="29">
        <v>9</v>
      </c>
      <c r="B14" s="27" t="s">
        <v>6</v>
      </c>
      <c r="C14" s="119">
        <v>15</v>
      </c>
      <c r="D14" s="119">
        <v>37</v>
      </c>
      <c r="E14" s="135">
        <v>902</v>
      </c>
      <c r="F14" s="92">
        <f>ROUND(C14*E14/1000,1)+1.6</f>
        <v>15.1</v>
      </c>
    </row>
    <row r="15" spans="1:6" s="6" customFormat="1" ht="15.75">
      <c r="A15" s="30">
        <v>10</v>
      </c>
      <c r="B15" s="34" t="s">
        <v>7</v>
      </c>
      <c r="C15" s="119">
        <v>38</v>
      </c>
      <c r="D15" s="119">
        <v>162</v>
      </c>
      <c r="E15" s="135">
        <v>902</v>
      </c>
      <c r="F15" s="92">
        <f t="shared" si="0"/>
        <v>34.3</v>
      </c>
    </row>
    <row r="16" spans="1:6" s="6" customFormat="1" ht="15.75">
      <c r="A16" s="29">
        <v>11</v>
      </c>
      <c r="B16" s="34" t="s">
        <v>8</v>
      </c>
      <c r="C16" s="119">
        <v>35</v>
      </c>
      <c r="D16" s="119">
        <v>195</v>
      </c>
      <c r="E16" s="135">
        <v>902</v>
      </c>
      <c r="F16" s="92">
        <f t="shared" si="0"/>
        <v>31.6</v>
      </c>
    </row>
    <row r="17" spans="1:6" s="6" customFormat="1" ht="15.75">
      <c r="A17" s="30">
        <v>12</v>
      </c>
      <c r="B17" s="34" t="s">
        <v>9</v>
      </c>
      <c r="C17" s="119">
        <v>32</v>
      </c>
      <c r="D17" s="119">
        <v>225</v>
      </c>
      <c r="E17" s="135">
        <v>902</v>
      </c>
      <c r="F17" s="92">
        <f t="shared" si="0"/>
        <v>28.9</v>
      </c>
    </row>
    <row r="18" spans="1:6" s="6" customFormat="1" ht="15.75">
      <c r="A18" s="29">
        <v>13</v>
      </c>
      <c r="B18" s="34" t="s">
        <v>10</v>
      </c>
      <c r="C18" s="119">
        <v>30</v>
      </c>
      <c r="D18" s="119">
        <v>350</v>
      </c>
      <c r="E18" s="135">
        <v>902</v>
      </c>
      <c r="F18" s="92">
        <f t="shared" si="0"/>
        <v>27.1</v>
      </c>
    </row>
    <row r="19" spans="1:6" s="6" customFormat="1" ht="19.5" customHeight="1">
      <c r="A19" s="30">
        <v>14</v>
      </c>
      <c r="B19" s="34" t="s">
        <v>11</v>
      </c>
      <c r="C19" s="119">
        <v>39</v>
      </c>
      <c r="D19" s="119">
        <v>68</v>
      </c>
      <c r="E19" s="135">
        <v>902</v>
      </c>
      <c r="F19" s="92">
        <f t="shared" si="0"/>
        <v>35.2</v>
      </c>
    </row>
    <row r="20" spans="1:6" s="6" customFormat="1" ht="15.75">
      <c r="A20" s="29">
        <v>15</v>
      </c>
      <c r="B20" s="34" t="s">
        <v>12</v>
      </c>
      <c r="C20" s="119">
        <v>30</v>
      </c>
      <c r="D20" s="119">
        <v>450</v>
      </c>
      <c r="E20" s="135">
        <v>902</v>
      </c>
      <c r="F20" s="92">
        <f t="shared" si="0"/>
        <v>27.1</v>
      </c>
    </row>
    <row r="21" spans="1:6" s="38" customFormat="1" ht="15.75" customHeight="1">
      <c r="A21" s="30">
        <v>16</v>
      </c>
      <c r="B21" s="36" t="s">
        <v>13</v>
      </c>
      <c r="C21" s="119">
        <v>30</v>
      </c>
      <c r="D21" s="119">
        <v>150</v>
      </c>
      <c r="E21" s="135">
        <v>902</v>
      </c>
      <c r="F21" s="92">
        <f>ROUND(C21*E21/1000,1)+0.1</f>
        <v>27.200000000000003</v>
      </c>
    </row>
    <row r="22" spans="1:6" s="41" customFormat="1" ht="19.5" customHeight="1">
      <c r="A22" s="29">
        <v>17</v>
      </c>
      <c r="B22" s="36" t="s">
        <v>14</v>
      </c>
      <c r="C22" s="124">
        <v>20</v>
      </c>
      <c r="D22" s="124">
        <v>33</v>
      </c>
      <c r="E22" s="135">
        <v>902</v>
      </c>
      <c r="F22" s="92">
        <f t="shared" si="0"/>
        <v>18</v>
      </c>
    </row>
    <row r="23" spans="1:6" s="6" customFormat="1" ht="15.75">
      <c r="A23" s="30">
        <v>18</v>
      </c>
      <c r="B23" s="34" t="s">
        <v>15</v>
      </c>
      <c r="C23" s="119">
        <v>30</v>
      </c>
      <c r="D23" s="119">
        <v>70</v>
      </c>
      <c r="E23" s="135">
        <v>902</v>
      </c>
      <c r="F23" s="92">
        <f t="shared" si="0"/>
        <v>27.1</v>
      </c>
    </row>
    <row r="24" spans="1:6" s="38" customFormat="1" ht="21" customHeight="1">
      <c r="A24" s="29">
        <v>19</v>
      </c>
      <c r="B24" s="36" t="s">
        <v>16</v>
      </c>
      <c r="C24" s="119">
        <v>30</v>
      </c>
      <c r="D24" s="119">
        <v>350</v>
      </c>
      <c r="E24" s="135">
        <v>902</v>
      </c>
      <c r="F24" s="92">
        <f t="shared" si="0"/>
        <v>27.1</v>
      </c>
    </row>
    <row r="25" spans="1:6" s="6" customFormat="1" ht="15.75">
      <c r="A25" s="30">
        <v>20</v>
      </c>
      <c r="B25" s="34" t="s">
        <v>17</v>
      </c>
      <c r="C25" s="119">
        <v>125</v>
      </c>
      <c r="D25" s="119">
        <v>415</v>
      </c>
      <c r="E25" s="135">
        <v>902</v>
      </c>
      <c r="F25" s="92">
        <f t="shared" si="0"/>
        <v>112.8</v>
      </c>
    </row>
    <row r="26" spans="1:6" s="6" customFormat="1" ht="15.75">
      <c r="A26" s="29">
        <v>21</v>
      </c>
      <c r="B26" s="34" t="s">
        <v>18</v>
      </c>
      <c r="C26" s="119">
        <v>25</v>
      </c>
      <c r="D26" s="119">
        <v>63</v>
      </c>
      <c r="E26" s="135">
        <v>902</v>
      </c>
      <c r="F26" s="92">
        <f t="shared" si="0"/>
        <v>22.6</v>
      </c>
    </row>
    <row r="27" spans="1:6" s="41" customFormat="1" ht="15" customHeight="1">
      <c r="A27" s="30">
        <v>22</v>
      </c>
      <c r="B27" s="36" t="s">
        <v>19</v>
      </c>
      <c r="C27" s="124">
        <v>30</v>
      </c>
      <c r="D27" s="124">
        <v>200</v>
      </c>
      <c r="E27" s="135">
        <v>902</v>
      </c>
      <c r="F27" s="92">
        <f t="shared" si="0"/>
        <v>27.1</v>
      </c>
    </row>
    <row r="28" spans="1:6" s="38" customFormat="1" ht="18.75" customHeight="1">
      <c r="A28" s="29">
        <v>23</v>
      </c>
      <c r="B28" s="36" t="s">
        <v>20</v>
      </c>
      <c r="C28" s="119">
        <v>24</v>
      </c>
      <c r="D28" s="119">
        <v>64</v>
      </c>
      <c r="E28" s="135">
        <v>902</v>
      </c>
      <c r="F28" s="92">
        <f t="shared" si="0"/>
        <v>21.6</v>
      </c>
    </row>
    <row r="29" spans="1:6" s="6" customFormat="1" ht="15.75">
      <c r="A29" s="30">
        <v>24</v>
      </c>
      <c r="B29" s="34" t="s">
        <v>21</v>
      </c>
      <c r="C29" s="119">
        <v>15</v>
      </c>
      <c r="D29" s="119">
        <v>39</v>
      </c>
      <c r="E29" s="135">
        <v>902</v>
      </c>
      <c r="F29" s="92">
        <f t="shared" si="0"/>
        <v>13.5</v>
      </c>
    </row>
    <row r="30" spans="1:6" s="6" customFormat="1" ht="15.75">
      <c r="A30" s="29">
        <v>25</v>
      </c>
      <c r="B30" s="34" t="s">
        <v>22</v>
      </c>
      <c r="C30" s="119">
        <v>15</v>
      </c>
      <c r="D30" s="119">
        <v>40</v>
      </c>
      <c r="E30" s="135">
        <v>902</v>
      </c>
      <c r="F30" s="92">
        <f t="shared" si="0"/>
        <v>13.5</v>
      </c>
    </row>
    <row r="31" spans="1:6" s="6" customFormat="1" ht="15.75">
      <c r="A31" s="30">
        <v>26</v>
      </c>
      <c r="B31" s="34" t="s">
        <v>23</v>
      </c>
      <c r="C31" s="119">
        <v>40</v>
      </c>
      <c r="D31" s="119">
        <v>110</v>
      </c>
      <c r="E31" s="135">
        <v>902</v>
      </c>
      <c r="F31" s="92">
        <f t="shared" si="0"/>
        <v>36.1</v>
      </c>
    </row>
    <row r="32" spans="1:6" s="6" customFormat="1" ht="19.5" customHeight="1">
      <c r="A32" s="29">
        <v>27</v>
      </c>
      <c r="B32" s="34" t="s">
        <v>24</v>
      </c>
      <c r="C32" s="119">
        <v>15</v>
      </c>
      <c r="D32" s="119">
        <v>102</v>
      </c>
      <c r="E32" s="135">
        <v>902</v>
      </c>
      <c r="F32" s="92">
        <f t="shared" si="0"/>
        <v>13.5</v>
      </c>
    </row>
    <row r="33" spans="1:6" s="6" customFormat="1" ht="18" customHeight="1">
      <c r="A33" s="30">
        <v>28</v>
      </c>
      <c r="B33" s="34" t="s">
        <v>25</v>
      </c>
      <c r="C33" s="119">
        <v>15</v>
      </c>
      <c r="D33" s="119">
        <v>53</v>
      </c>
      <c r="E33" s="135">
        <v>902</v>
      </c>
      <c r="F33" s="92">
        <f t="shared" si="0"/>
        <v>13.5</v>
      </c>
    </row>
    <row r="34" spans="1:6" s="41" customFormat="1" ht="18.75" customHeight="1">
      <c r="A34" s="29">
        <v>29</v>
      </c>
      <c r="B34" s="36" t="s">
        <v>26</v>
      </c>
      <c r="C34" s="124">
        <v>15</v>
      </c>
      <c r="D34" s="124">
        <v>86</v>
      </c>
      <c r="E34" s="135">
        <v>902</v>
      </c>
      <c r="F34" s="92">
        <f t="shared" si="0"/>
        <v>13.5</v>
      </c>
    </row>
    <row r="35" spans="1:6" s="6" customFormat="1" ht="24" customHeight="1">
      <c r="A35" s="30">
        <v>30</v>
      </c>
      <c r="B35" s="34" t="s">
        <v>27</v>
      </c>
      <c r="C35" s="119">
        <v>15</v>
      </c>
      <c r="D35" s="119">
        <v>43</v>
      </c>
      <c r="E35" s="135">
        <v>902</v>
      </c>
      <c r="F35" s="92">
        <f t="shared" si="0"/>
        <v>13.5</v>
      </c>
    </row>
    <row r="36" spans="1:6" s="6" customFormat="1" ht="15.75">
      <c r="A36" s="29">
        <v>31</v>
      </c>
      <c r="B36" s="34" t="s">
        <v>28</v>
      </c>
      <c r="C36" s="119">
        <v>55</v>
      </c>
      <c r="D36" s="119">
        <v>108</v>
      </c>
      <c r="E36" s="135">
        <v>902</v>
      </c>
      <c r="F36" s="92">
        <f t="shared" si="0"/>
        <v>49.6</v>
      </c>
    </row>
    <row r="37" spans="1:6" s="6" customFormat="1" ht="15.75">
      <c r="A37" s="30">
        <v>32</v>
      </c>
      <c r="B37" s="34" t="s">
        <v>29</v>
      </c>
      <c r="C37" s="119">
        <v>61</v>
      </c>
      <c r="D37" s="119">
        <v>70</v>
      </c>
      <c r="E37" s="135">
        <v>902</v>
      </c>
      <c r="F37" s="92">
        <f t="shared" si="0"/>
        <v>55</v>
      </c>
    </row>
    <row r="38" spans="1:6" s="6" customFormat="1" ht="15.75">
      <c r="A38" s="29">
        <v>33</v>
      </c>
      <c r="B38" s="34" t="s">
        <v>30</v>
      </c>
      <c r="C38" s="119">
        <v>15</v>
      </c>
      <c r="D38" s="119">
        <v>40</v>
      </c>
      <c r="E38" s="135">
        <v>902</v>
      </c>
      <c r="F38" s="92">
        <f>ROUND(C38*E38/1000,1)+2.4</f>
        <v>15.9</v>
      </c>
    </row>
    <row r="39" spans="1:6" s="6" customFormat="1" ht="15.75">
      <c r="A39" s="30">
        <v>34</v>
      </c>
      <c r="B39" s="34" t="s">
        <v>31</v>
      </c>
      <c r="C39" s="119">
        <v>17</v>
      </c>
      <c r="D39" s="119">
        <v>185</v>
      </c>
      <c r="E39" s="135">
        <v>902</v>
      </c>
      <c r="F39" s="92">
        <f t="shared" si="0"/>
        <v>15.3</v>
      </c>
    </row>
    <row r="40" spans="1:6" s="6" customFormat="1" ht="22.5" customHeight="1">
      <c r="A40" s="29">
        <v>35</v>
      </c>
      <c r="B40" s="34" t="s">
        <v>32</v>
      </c>
      <c r="C40" s="119">
        <v>15</v>
      </c>
      <c r="D40" s="119">
        <v>231</v>
      </c>
      <c r="E40" s="135">
        <v>902</v>
      </c>
      <c r="F40" s="92">
        <f t="shared" si="0"/>
        <v>13.5</v>
      </c>
    </row>
    <row r="41" spans="1:6" s="6" customFormat="1" ht="21.75" customHeight="1">
      <c r="A41" s="30">
        <v>36</v>
      </c>
      <c r="B41" s="34" t="s">
        <v>33</v>
      </c>
      <c r="C41" s="119">
        <v>48</v>
      </c>
      <c r="D41" s="119">
        <v>180</v>
      </c>
      <c r="E41" s="135">
        <v>902</v>
      </c>
      <c r="F41" s="92">
        <f t="shared" si="0"/>
        <v>43.3</v>
      </c>
    </row>
    <row r="42" spans="1:6" s="38" customFormat="1" ht="21" customHeight="1">
      <c r="A42" s="29">
        <v>37</v>
      </c>
      <c r="B42" s="36" t="s">
        <v>34</v>
      </c>
      <c r="C42" s="119">
        <v>30</v>
      </c>
      <c r="D42" s="119">
        <v>60</v>
      </c>
      <c r="E42" s="135">
        <v>902</v>
      </c>
      <c r="F42" s="92">
        <f t="shared" si="0"/>
        <v>27.1</v>
      </c>
    </row>
    <row r="43" spans="1:6" s="38" customFormat="1" ht="15.75">
      <c r="A43" s="30">
        <v>38</v>
      </c>
      <c r="B43" s="36" t="s">
        <v>35</v>
      </c>
      <c r="C43" s="126">
        <v>35</v>
      </c>
      <c r="D43" s="126">
        <v>45</v>
      </c>
      <c r="E43" s="135">
        <v>902</v>
      </c>
      <c r="F43" s="92">
        <f t="shared" si="0"/>
        <v>31.6</v>
      </c>
    </row>
    <row r="44" spans="1:6" s="6" customFormat="1" ht="16.5" thickBot="1">
      <c r="A44" s="29">
        <v>39</v>
      </c>
      <c r="B44" s="43" t="s">
        <v>36</v>
      </c>
      <c r="C44" s="126">
        <v>38</v>
      </c>
      <c r="D44" s="126">
        <v>59</v>
      </c>
      <c r="E44" s="135">
        <v>902</v>
      </c>
      <c r="F44" s="92">
        <f t="shared" si="0"/>
        <v>34.3</v>
      </c>
    </row>
    <row r="45" spans="1:6" s="38" customFormat="1" ht="32.25" thickBot="1">
      <c r="A45" s="50"/>
      <c r="B45" s="80" t="s">
        <v>77</v>
      </c>
      <c r="C45" s="93">
        <f>SUM(C6:C44)</f>
        <v>1394</v>
      </c>
      <c r="D45" s="93">
        <f>SUM(D6:D44)</f>
        <v>8413</v>
      </c>
      <c r="E45" s="93"/>
      <c r="F45" s="94">
        <f>SUM(F6:F44)</f>
        <v>1222</v>
      </c>
    </row>
    <row r="46" spans="1:2" s="6" customFormat="1" ht="18" customHeight="1">
      <c r="A46" s="9"/>
      <c r="B46" s="10"/>
    </row>
    <row r="47" spans="1:2" s="6" customFormat="1" ht="15.75">
      <c r="A47" s="12"/>
      <c r="B47" s="13"/>
    </row>
    <row r="48" spans="1:2" s="6" customFormat="1" ht="15.75">
      <c r="A48" s="12"/>
      <c r="B48" s="13"/>
    </row>
    <row r="49" spans="1:2" s="6" customFormat="1" ht="15.75">
      <c r="A49" s="12"/>
      <c r="B49" s="13"/>
    </row>
    <row r="50" spans="1:2" s="6" customFormat="1" ht="15.75">
      <c r="A50" s="12"/>
      <c r="B50" s="13"/>
    </row>
    <row r="51" spans="1:2" s="6" customFormat="1" ht="15.75">
      <c r="A51" s="12"/>
      <c r="B51" s="15"/>
    </row>
    <row r="52" spans="1:2" s="6" customFormat="1" ht="15.75">
      <c r="A52" s="12"/>
      <c r="B52" s="15"/>
    </row>
    <row r="53" spans="1:2" s="6" customFormat="1" ht="16.5" customHeight="1">
      <c r="A53" s="12"/>
      <c r="B53" s="13"/>
    </row>
    <row r="54" spans="1:2" s="6" customFormat="1" ht="15.75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6"/>
    </row>
    <row r="60" spans="1:2" s="18" customFormat="1" ht="16.5" customHeight="1">
      <c r="A60" s="153"/>
      <c r="B60" s="153"/>
    </row>
    <row r="61" spans="1:2" ht="15.75">
      <c r="A61" s="12"/>
      <c r="B61" s="15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8" customHeight="1">
      <c r="A65" s="12"/>
      <c r="B65" s="15"/>
    </row>
    <row r="66" spans="1:2" ht="15.75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3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20"/>
      <c r="B105" s="21"/>
    </row>
    <row r="106" spans="1:2" ht="18.75">
      <c r="A106" s="22"/>
      <c r="B106" s="22"/>
    </row>
    <row r="107" spans="1:2" ht="12.75">
      <c r="A107" s="20"/>
      <c r="B107" s="20"/>
    </row>
  </sheetData>
  <sheetProtection/>
  <mergeCells count="9">
    <mergeCell ref="F3:F5"/>
    <mergeCell ref="B3:B5"/>
    <mergeCell ref="A60:B60"/>
    <mergeCell ref="A1:B1"/>
    <mergeCell ref="A3:A4"/>
    <mergeCell ref="C3:D3"/>
    <mergeCell ref="C4:D4"/>
    <mergeCell ref="E3:E5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2018-07-03T13:44:48Z</cp:lastPrinted>
  <dcterms:created xsi:type="dcterms:W3CDTF">2005-01-25T12:19:56Z</dcterms:created>
  <dcterms:modified xsi:type="dcterms:W3CDTF">2018-08-17T13:27:12Z</dcterms:modified>
  <cp:category/>
  <cp:version/>
  <cp:contentType/>
  <cp:contentStatus/>
</cp:coreProperties>
</file>