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2120" windowHeight="8235" firstSheet="1" activeTab="3"/>
  </bookViews>
  <sheets>
    <sheet name="Расчёт баз. нормат.прил.1" sheetId="1" r:id="rId1"/>
    <sheet name="ФО непосредств.затрат" sheetId="2" r:id="rId2"/>
    <sheet name="ФО общехоз.затрат" sheetId="3" r:id="rId3"/>
    <sheet name="Полное финобеспечение" sheetId="4" r:id="rId4"/>
  </sheets>
  <externalReferences>
    <externalReference r:id="rId7"/>
  </externalReferences>
  <definedNames>
    <definedName name="_xlnm.Print_Titles" localSheetId="3">'Полное финобеспечение'!$A:$B,'Полное финобеспечение'!$3:$5</definedName>
    <definedName name="_xlnm.Print_Titles" localSheetId="0">'Расчёт баз. нормат.прил.1'!$A:$B,'Расчёт баз. нормат.прил.1'!$3:$6</definedName>
    <definedName name="_xlnm.Print_Titles" localSheetId="1">'ФО непосредств.затрат'!$A:$B,'ФО непосредств.затрат'!$3:$6</definedName>
    <definedName name="_xlnm.Print_Titles" localSheetId="2">'ФО общехоз.затрат'!$A:$B,'ФО общехоз.затрат'!$3:$6</definedName>
    <definedName name="_xlnm.Print_Area" localSheetId="3">'Полное финобеспечение'!$A$1:$C$52</definedName>
    <definedName name="_xlnm.Print_Area" localSheetId="0">'Расчёт баз. нормат.прил.1'!$A$1:$X$53</definedName>
    <definedName name="_xlnm.Print_Area" localSheetId="1">'ФО непосредств.затрат'!$A$1:$Y$53</definedName>
    <definedName name="_xlnm.Print_Area" localSheetId="2">'ФО общехоз.затрат'!$A$1:$T$53</definedName>
  </definedNames>
  <calcPr fullCalcOnLoad="1"/>
</workbook>
</file>

<file path=xl/sharedStrings.xml><?xml version="1.0" encoding="utf-8"?>
<sst xmlns="http://schemas.openxmlformats.org/spreadsheetml/2006/main" count="295" uniqueCount="96">
  <si>
    <t>№п/п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</si>
  <si>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</si>
  <si>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</si>
  <si>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</si>
  <si>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</si>
  <si>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</si>
  <si>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</si>
  <si>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</si>
  <si>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</si>
  <si>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</si>
  <si>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</si>
  <si>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</si>
  <si>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</si>
  <si>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</si>
  <si>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</si>
  <si>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</si>
  <si>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</si>
  <si>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</si>
  <si>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</si>
  <si>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</si>
  <si>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</si>
  <si>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</si>
  <si>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</si>
  <si>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</si>
  <si>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</si>
  <si>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</si>
  <si>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</si>
  <si>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</si>
  <si>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</si>
  <si>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</si>
  <si>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</si>
  <si>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</si>
  <si>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</si>
  <si>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</si>
  <si>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</si>
  <si>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</si>
  <si>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</si>
  <si>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</si>
  <si>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</si>
  <si>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</si>
  <si>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</si>
  <si>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</si>
  <si>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</si>
  <si>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</si>
  <si>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</si>
  <si>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</si>
  <si>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Присмотр и уход</t>
  </si>
  <si>
    <t>денежная норма питания, руб./детодень</t>
  </si>
  <si>
    <t>родительская плата, руб./день</t>
  </si>
  <si>
    <t>потребители услуги</t>
  </si>
  <si>
    <t>базовый норматив на общехозяйственные нужды на одного ребенка , руб./год</t>
  </si>
  <si>
    <t>базовый норматив по присмотру и уходу за детьми от 1 года до 3 лет, руб./год</t>
  </si>
  <si>
    <t>базовый норматив по присмотру и уходу за детьми от 3 лет до 8 лет, руб./год</t>
  </si>
  <si>
    <t>полное финансовое обеспечение за счет затрат, непосредственно связанных с оказанием муниципальной услуги-бюджет, тыс. руб.</t>
  </si>
  <si>
    <t>финансовое обеспечение за счет затрат, непосредственно связанных с оказанием муниципальной услуги, физических лиц от 1 года до 3 лет за исключением льготных категорий-бюджет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</si>
  <si>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1 года до 3 лет-бюджет, тыс. руб.</t>
  </si>
  <si>
    <t>финансовое обеспечение за счет затрат, непосредственно связанных с оказанием муниципальной услуги, детей -инвалидов от 1 года до 3 лет-бюджет, тыс. руб.</t>
  </si>
  <si>
    <t>финансовое обеспечение за счет затрат, непосредственно связанных с оказанием муниципальной услуги, физических лиц от 3 лет до 8 лет за исключением льготных категорий-бюджет, тыс. руб.</t>
  </si>
  <si>
    <t>финансовое обеспечение за счет затрат, непосредственно связанных с оказанием муниципальной услуги, детей -инвалидов от 3 лет до 8 лет-бюджет,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</si>
  <si>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3 лет до 8 лет-бюдждет, тыс. руб.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</si>
  <si>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</si>
  <si>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от 1 года до 3 лет-бюдждет, тыс. руб.</t>
  </si>
  <si>
    <t>финансовое обеспечение за счет общехозяйственных затрат детей -инвалидов от 1 года до 3 лет-бюджет, тыс. руб.</t>
  </si>
  <si>
    <t>Наименование образовательной организации</t>
  </si>
  <si>
    <t>дети-инвалиды от 1 года до 3 лет, чел.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</si>
  <si>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</si>
  <si>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</si>
  <si>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базовый норматив затрат, непосредственно связанных с оказанием муниицпальной услуги по присмотру и уходу, на одного ребенка в год, руб.</t>
  </si>
  <si>
    <t>нормативные затраты, непосредственно связанные с оказанием муниицпальной услуги по присмотру и уходу, на одного ребенка в год, руб.</t>
  </si>
  <si>
    <t xml:space="preserve"> затраты на общехозяйственные нужды на одного ребенка в год , руб.</t>
  </si>
  <si>
    <t>физические лица от 3 лет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</si>
  <si>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</si>
  <si>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</si>
  <si>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образовательные организации</t>
  </si>
  <si>
    <t>отраслевой корректирующий  коэффициент затрат, непосредственно связанных с оказанием муниципальной услуги, учитывающий режим работы учреждения (12 часов; 9-10 часов)</t>
  </si>
  <si>
    <t>физические лица от 3 лет  до 8 лет за исключением льготных категорий, чел.</t>
  </si>
  <si>
    <t>отраслевой корректирующий  коэффициент затрат, непосредственно связанных с оказанием муниципальной услуги, учитывающий фактическую выхождаемость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</si>
  <si>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</si>
  <si>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нужды от 3 лет до 8 лет-бюдждет,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</si>
  <si>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</si>
  <si>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базовый норматив затрат на общехозяйственные нужды на одного ребенка , руб./год</t>
  </si>
  <si>
    <t xml:space="preserve"> расходы на общехозяйственные нужды на одного ребенка , руб./год</t>
  </si>
  <si>
    <t>полное финансовое обеспечение за счет затрат на общехозяйственные нужды-бюджет, тыс. руб.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</si>
  <si>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</si>
  <si>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обеспечение, тыс. руб.</t>
  </si>
  <si>
    <t>средняя выхождаемость за 2014-2016 годы, %</t>
  </si>
  <si>
    <t>к приказу Отдела образования от 28.12.2017 №917</t>
  </si>
  <si>
    <t>Наименование и объём  муниципальной услуги</t>
  </si>
  <si>
    <t>затраты по питанию на одного ребёнка в  год, руб.</t>
  </si>
  <si>
    <t>Наименование и объём муниципальной  услуги</t>
  </si>
  <si>
    <t>Наименование и объём  муниципальнойуслуги</t>
  </si>
  <si>
    <t>Приложение №9</t>
  </si>
  <si>
    <t>Приложение №10</t>
  </si>
  <si>
    <t>Приложение №11</t>
  </si>
  <si>
    <t>Приложение №12</t>
  </si>
  <si>
    <t>налоги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</si>
</sst>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 applyAlignment="1">
      <alignment horizontal="center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" fontId="6" fillId="33" borderId="0" xfId="54" applyNumberFormat="1" applyFont="1" applyFill="1">
      <alignment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2" fontId="5" fillId="33" borderId="10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4" fontId="9" fillId="33" borderId="11" xfId="54" applyNumberFormat="1" applyFont="1" applyFill="1" applyBorder="1" applyAlignment="1">
      <alignment horizontal="center" wrapText="1"/>
      <protection/>
    </xf>
    <xf numFmtId="2" fontId="9" fillId="33" borderId="12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6" fillId="33" borderId="0" xfId="54" applyNumberFormat="1" applyFont="1" applyFill="1" applyAlignment="1">
      <alignment/>
      <protection/>
    </xf>
    <xf numFmtId="2" fontId="9" fillId="33" borderId="12" xfId="0" applyNumberFormat="1" applyFont="1" applyFill="1" applyBorder="1" applyAlignment="1">
      <alignment wrapText="1"/>
    </xf>
    <xf numFmtId="2" fontId="6" fillId="33" borderId="0" xfId="54" applyNumberFormat="1" applyFont="1" applyFill="1" applyAlignment="1">
      <alignment wrapText="1"/>
      <protection/>
    </xf>
    <xf numFmtId="2" fontId="9" fillId="33" borderId="11" xfId="0" applyNumberFormat="1" applyFont="1" applyFill="1" applyBorder="1" applyAlignment="1">
      <alignment horizontal="center" wrapText="1"/>
    </xf>
    <xf numFmtId="2" fontId="8" fillId="33" borderId="13" xfId="54" applyNumberFormat="1" applyFont="1" applyFill="1" applyBorder="1" applyAlignment="1">
      <alignment horizontal="center" wrapText="1"/>
      <protection/>
    </xf>
    <xf numFmtId="177" fontId="9" fillId="33" borderId="11" xfId="0" applyNumberFormat="1" applyFont="1" applyFill="1" applyBorder="1" applyAlignment="1">
      <alignment horizontal="center"/>
    </xf>
    <xf numFmtId="1" fontId="4" fillId="33" borderId="11" xfId="54" applyNumberFormat="1" applyFont="1" applyFill="1" applyBorder="1" applyAlignment="1">
      <alignment horizontal="center"/>
      <protection/>
    </xf>
    <xf numFmtId="1" fontId="4" fillId="33" borderId="12" xfId="54" applyNumberFormat="1" applyFont="1" applyFill="1" applyBorder="1" applyAlignment="1">
      <alignment horizontal="center"/>
      <protection/>
    </xf>
    <xf numFmtId="1" fontId="4" fillId="33" borderId="11" xfId="54" applyNumberFormat="1" applyFont="1" applyFill="1" applyBorder="1" applyAlignment="1">
      <alignment horizontal="center" wrapText="1"/>
      <protection/>
    </xf>
    <xf numFmtId="1" fontId="4" fillId="33" borderId="12" xfId="54" applyNumberFormat="1" applyFont="1" applyFill="1" applyBorder="1" applyAlignment="1">
      <alignment horizontal="center" wrapText="1"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182" fontId="9" fillId="33" borderId="11" xfId="54" applyNumberFormat="1" applyFont="1" applyFill="1" applyBorder="1" applyAlignment="1">
      <alignment horizontal="center" wrapText="1"/>
      <protection/>
    </xf>
    <xf numFmtId="4" fontId="9" fillId="33" borderId="12" xfId="54" applyNumberFormat="1" applyFont="1" applyFill="1" applyBorder="1" applyAlignment="1">
      <alignment horizontal="center" wrapText="1"/>
      <protection/>
    </xf>
    <xf numFmtId="3" fontId="9" fillId="33" borderId="12" xfId="54" applyNumberFormat="1" applyFont="1" applyFill="1" applyBorder="1" applyAlignment="1">
      <alignment horizontal="center"/>
      <protection/>
    </xf>
    <xf numFmtId="3" fontId="9" fillId="33" borderId="11" xfId="54" applyNumberFormat="1" applyFont="1" applyFill="1" applyBorder="1" applyAlignment="1">
      <alignment horizontal="center" wrapText="1"/>
      <protection/>
    </xf>
    <xf numFmtId="2" fontId="5" fillId="33" borderId="13" xfId="54" applyNumberFormat="1" applyFont="1" applyFill="1" applyBorder="1" applyAlignment="1">
      <alignment wrapText="1"/>
      <protection/>
    </xf>
    <xf numFmtId="1" fontId="5" fillId="33" borderId="14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Alignment="1">
      <alignment/>
      <protection/>
    </xf>
    <xf numFmtId="180" fontId="9" fillId="33" borderId="12" xfId="54" applyNumberFormat="1" applyFont="1" applyFill="1" applyBorder="1" applyAlignment="1">
      <alignment horizontal="center"/>
      <protection/>
    </xf>
    <xf numFmtId="180" fontId="9" fillId="33" borderId="11" xfId="0" applyNumberFormat="1" applyFont="1" applyFill="1" applyBorder="1" applyAlignment="1">
      <alignment horizontal="center"/>
    </xf>
    <xf numFmtId="0" fontId="5" fillId="33" borderId="0" xfId="54" applyFont="1" applyFill="1" applyAlignment="1">
      <alignment/>
      <protection/>
    </xf>
    <xf numFmtId="0" fontId="48" fillId="33" borderId="15" xfId="54" applyFont="1" applyFill="1" applyBorder="1" applyAlignment="1">
      <alignment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3" fontId="9" fillId="33" borderId="12" xfId="54" applyNumberFormat="1" applyFont="1" applyFill="1" applyBorder="1" applyAlignment="1">
      <alignment horizontal="center" wrapText="1"/>
      <protection/>
    </xf>
    <xf numFmtId="3" fontId="8" fillId="33" borderId="13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Alignment="1">
      <alignment wrapText="1"/>
      <protection/>
    </xf>
    <xf numFmtId="0" fontId="4" fillId="33" borderId="0" xfId="54" applyFont="1" applyFill="1" applyBorder="1" applyAlignment="1">
      <alignment/>
      <protection/>
    </xf>
    <xf numFmtId="0" fontId="12" fillId="33" borderId="15" xfId="54" applyFont="1" applyFill="1" applyBorder="1" applyAlignment="1">
      <alignment/>
      <protection/>
    </xf>
    <xf numFmtId="0" fontId="6" fillId="33" borderId="0" xfId="54" applyFont="1" applyFill="1" applyAlignment="1">
      <alignment wrapText="1"/>
      <protection/>
    </xf>
    <xf numFmtId="0" fontId="6" fillId="33" borderId="0" xfId="54" applyFont="1" applyFill="1" applyAlignment="1">
      <alignment/>
      <protection/>
    </xf>
    <xf numFmtId="9" fontId="4" fillId="33" borderId="0" xfId="54" applyNumberFormat="1" applyFont="1" applyFill="1" applyBorder="1" applyAlignment="1">
      <alignment vertical="top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0" fontId="5" fillId="33" borderId="0" xfId="54" applyFont="1" applyFill="1" applyAlignment="1">
      <alignment horizontal="center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8" xfId="54" applyNumberFormat="1" applyFont="1" applyFill="1" applyBorder="1" applyAlignment="1">
      <alignment horizontal="center" vertical="center" wrapText="1"/>
      <protection/>
    </xf>
    <xf numFmtId="0" fontId="48" fillId="33" borderId="15" xfId="54" applyFont="1" applyFill="1" applyBorder="1" applyAlignment="1">
      <alignment horizontal="left"/>
      <protection/>
    </xf>
    <xf numFmtId="0" fontId="48" fillId="33" borderId="0" xfId="54" applyFont="1" applyFill="1" applyBorder="1" applyAlignment="1">
      <alignment horizontal="left"/>
      <protection/>
    </xf>
    <xf numFmtId="1" fontId="4" fillId="33" borderId="19" xfId="54" applyNumberFormat="1" applyFont="1" applyFill="1" applyBorder="1" applyAlignment="1">
      <alignment horizontal="center" wrapText="1"/>
      <protection/>
    </xf>
    <xf numFmtId="2" fontId="9" fillId="33" borderId="19" xfId="0" applyNumberFormat="1" applyFont="1" applyFill="1" applyBorder="1" applyAlignment="1">
      <alignment wrapText="1"/>
    </xf>
    <xf numFmtId="2" fontId="9" fillId="33" borderId="19" xfId="0" applyNumberFormat="1" applyFont="1" applyFill="1" applyBorder="1" applyAlignment="1">
      <alignment horizontal="center"/>
    </xf>
    <xf numFmtId="177" fontId="9" fillId="33" borderId="13" xfId="0" applyNumberFormat="1" applyFont="1" applyFill="1" applyBorder="1" applyAlignment="1">
      <alignment horizontal="center"/>
    </xf>
    <xf numFmtId="3" fontId="9" fillId="33" borderId="13" xfId="54" applyNumberFormat="1" applyFont="1" applyFill="1" applyBorder="1" applyAlignment="1">
      <alignment horizontal="center" wrapText="1"/>
      <protection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177" fontId="9" fillId="33" borderId="12" xfId="0" applyNumberFormat="1" applyFont="1" applyFill="1" applyBorder="1" applyAlignment="1">
      <alignment horizontal="center" vertical="center"/>
    </xf>
    <xf numFmtId="0" fontId="9" fillId="33" borderId="12" xfId="53" applyFont="1" applyFill="1" applyBorder="1" applyAlignment="1">
      <alignment horizontal="center" vertical="center"/>
      <protection/>
    </xf>
    <xf numFmtId="1" fontId="9" fillId="33" borderId="12" xfId="53" applyNumberFormat="1" applyFont="1" applyFill="1" applyBorder="1" applyAlignment="1">
      <alignment horizontal="center" vertical="center"/>
      <protection/>
    </xf>
    <xf numFmtId="0" fontId="9" fillId="34" borderId="20" xfId="53" applyFont="1" applyFill="1" applyBorder="1" applyAlignment="1">
      <alignment horizontal="center"/>
      <protection/>
    </xf>
    <xf numFmtId="1" fontId="9" fillId="34" borderId="20" xfId="53" applyNumberFormat="1" applyFont="1" applyFill="1" applyBorder="1" applyAlignment="1">
      <alignment horizontal="center"/>
      <protection/>
    </xf>
    <xf numFmtId="1" fontId="9" fillId="34" borderId="20" xfId="55" applyNumberFormat="1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1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top" wrapText="1"/>
      <protection/>
    </xf>
    <xf numFmtId="3" fontId="9" fillId="33" borderId="12" xfId="54" applyNumberFormat="1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3" fontId="9" fillId="33" borderId="19" xfId="54" applyNumberFormat="1" applyFont="1" applyFill="1" applyBorder="1" applyAlignment="1">
      <alignment horizontal="center" wrapText="1"/>
      <protection/>
    </xf>
    <xf numFmtId="3" fontId="9" fillId="33" borderId="19" xfId="54" applyNumberFormat="1" applyFont="1" applyFill="1" applyBorder="1" applyAlignment="1">
      <alignment horizontal="center" vertical="center" wrapText="1"/>
      <protection/>
    </xf>
    <xf numFmtId="1" fontId="9" fillId="33" borderId="19" xfId="54" applyNumberFormat="1" applyFont="1" applyFill="1" applyBorder="1" applyAlignment="1">
      <alignment horizontal="center" vertical="center" wrapText="1"/>
      <protection/>
    </xf>
    <xf numFmtId="4" fontId="9" fillId="33" borderId="19" xfId="54" applyNumberFormat="1" applyFont="1" applyFill="1" applyBorder="1" applyAlignment="1">
      <alignment horizontal="center" wrapText="1"/>
      <protection/>
    </xf>
    <xf numFmtId="3" fontId="9" fillId="33" borderId="19" xfId="54" applyNumberFormat="1" applyFont="1" applyFill="1" applyBorder="1" applyAlignment="1">
      <alignment horizontal="center"/>
      <protection/>
    </xf>
    <xf numFmtId="4" fontId="9" fillId="33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2" xfId="53" applyNumberFormat="1" applyFont="1" applyFill="1" applyBorder="1" applyAlignment="1">
      <alignment horizontal="center" vertical="center"/>
      <protection/>
    </xf>
    <xf numFmtId="3" fontId="9" fillId="34" borderId="20" xfId="53" applyNumberFormat="1" applyFont="1" applyFill="1" applyBorder="1" applyAlignment="1">
      <alignment horizontal="center"/>
      <protection/>
    </xf>
    <xf numFmtId="3" fontId="9" fillId="33" borderId="12" xfId="53" applyNumberFormat="1" applyFont="1" applyFill="1" applyBorder="1" applyAlignment="1">
      <alignment horizontal="center" vertical="center" wrapText="1"/>
      <protection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2" fillId="33" borderId="15" xfId="54" applyFont="1" applyFill="1" applyBorder="1" applyAlignment="1">
      <alignment horizontal="right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23" xfId="54" applyNumberFormat="1" applyFont="1" applyFill="1" applyBorder="1" applyAlignment="1">
      <alignment horizontal="center" vertical="center" wrapText="1"/>
      <protection/>
    </xf>
    <xf numFmtId="177" fontId="4" fillId="33" borderId="24" xfId="54" applyNumberFormat="1" applyFont="1" applyFill="1" applyBorder="1" applyAlignment="1">
      <alignment horizontal="center" vertical="center" wrapText="1"/>
      <protection/>
    </xf>
    <xf numFmtId="177" fontId="4" fillId="33" borderId="18" xfId="54" applyNumberFormat="1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25" xfId="54" applyNumberFormat="1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" fontId="5" fillId="33" borderId="19" xfId="54" applyNumberFormat="1" applyFont="1" applyFill="1" applyBorder="1" applyAlignment="1">
      <alignment horizontal="center" wrapText="1"/>
      <protection/>
    </xf>
    <xf numFmtId="2" fontId="5" fillId="33" borderId="19" xfId="54" applyNumberFormat="1" applyFont="1" applyFill="1" applyBorder="1" applyAlignment="1">
      <alignment wrapText="1"/>
      <protection/>
    </xf>
    <xf numFmtId="3" fontId="8" fillId="33" borderId="19" xfId="54" applyNumberFormat="1" applyFont="1" applyFill="1" applyBorder="1" applyAlignment="1">
      <alignment horizontal="center" wrapText="1"/>
      <protection/>
    </xf>
    <xf numFmtId="2" fontId="8" fillId="33" borderId="19" xfId="54" applyNumberFormat="1" applyFont="1" applyFill="1" applyBorder="1" applyAlignment="1">
      <alignment horizontal="center" wrapText="1"/>
      <protection/>
    </xf>
    <xf numFmtId="177" fontId="8" fillId="33" borderId="19" xfId="54" applyNumberFormat="1" applyFont="1" applyFill="1" applyBorder="1" applyAlignment="1">
      <alignment horizontal="center" wrapText="1"/>
      <protection/>
    </xf>
    <xf numFmtId="4" fontId="8" fillId="33" borderId="19" xfId="54" applyNumberFormat="1" applyFont="1" applyFill="1" applyBorder="1" applyAlignment="1">
      <alignment horizontal="center" wrapText="1"/>
      <protection/>
    </xf>
    <xf numFmtId="1" fontId="8" fillId="33" borderId="19" xfId="54" applyNumberFormat="1" applyFont="1" applyFill="1" applyBorder="1" applyAlignment="1">
      <alignment horizontal="center" wrapText="1"/>
      <protection/>
    </xf>
    <xf numFmtId="177" fontId="8" fillId="33" borderId="19" xfId="0" applyNumberFormat="1" applyFont="1" applyFill="1" applyBorder="1" applyAlignment="1">
      <alignment horizontal="center"/>
    </xf>
    <xf numFmtId="4" fontId="8" fillId="33" borderId="19" xfId="54" applyNumberFormat="1" applyFont="1" applyFill="1" applyBorder="1" applyAlignment="1">
      <alignment/>
      <protection/>
    </xf>
    <xf numFmtId="3" fontId="8" fillId="33" borderId="19" xfId="54" applyNumberFormat="1" applyFont="1" applyFill="1" applyBorder="1" applyAlignment="1">
      <alignment horizontal="center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" fontId="9" fillId="33" borderId="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Border="1" applyAlignment="1">
      <alignment horizontal="center"/>
      <protection/>
    </xf>
    <xf numFmtId="4" fontId="9" fillId="33" borderId="0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0" fontId="6" fillId="33" borderId="0" xfId="54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2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/>
      <protection/>
    </xf>
    <xf numFmtId="2" fontId="8" fillId="33" borderId="0" xfId="54" applyNumberFormat="1" applyFont="1" applyFill="1" applyBorder="1" applyAlignment="1">
      <alignment/>
      <protection/>
    </xf>
    <xf numFmtId="180" fontId="8" fillId="33" borderId="13" xfId="0" applyNumberFormat="1" applyFont="1" applyFill="1" applyBorder="1" applyAlignment="1">
      <alignment horizontal="center" wrapText="1"/>
    </xf>
    <xf numFmtId="180" fontId="8" fillId="33" borderId="13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 wrapText="1"/>
    </xf>
    <xf numFmtId="0" fontId="6" fillId="33" borderId="0" xfId="54" applyFont="1" applyFill="1" applyBorder="1" applyAlignment="1">
      <alignment horizontal="center" wrapText="1"/>
      <protection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Border="1" applyAlignment="1">
      <alignment wrapText="1"/>
      <protection/>
    </xf>
    <xf numFmtId="0" fontId="6" fillId="33" borderId="0" xfId="54" applyFont="1" applyFill="1" applyBorder="1" applyAlignment="1">
      <alignment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 wrapText="1"/>
      <protection/>
    </xf>
    <xf numFmtId="177" fontId="8" fillId="33" borderId="19" xfId="0" applyNumberFormat="1" applyFont="1" applyFill="1" applyBorder="1" applyAlignment="1">
      <alignment horizontal="center" wrapText="1"/>
    </xf>
    <xf numFmtId="180" fontId="8" fillId="33" borderId="19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13" xfId="0" applyNumberFormat="1" applyFont="1" applyFill="1" applyBorder="1" applyAlignment="1">
      <alignment horizontal="center"/>
    </xf>
    <xf numFmtId="180" fontId="9" fillId="33" borderId="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87;&#1086;%20&#1044;&#1044;&#1059;-611-%20&#1082;&#1086;&#1088;.%202019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20"/>
    </sheetNames>
    <sheetDataSet>
      <sheetData sheetId="1">
        <row r="4">
          <cell r="AJ4">
            <v>493.4</v>
          </cell>
          <cell r="AP4">
            <v>986.7</v>
          </cell>
        </row>
        <row r="5">
          <cell r="AJ5">
            <v>712.6</v>
          </cell>
          <cell r="AP5">
            <v>1194.1</v>
          </cell>
        </row>
        <row r="6">
          <cell r="AJ6">
            <v>877.8</v>
          </cell>
          <cell r="AP6">
            <v>1494.3</v>
          </cell>
        </row>
        <row r="7">
          <cell r="AJ7">
            <v>1835.8</v>
          </cell>
          <cell r="AP7">
            <v>2001.5</v>
          </cell>
        </row>
        <row r="8">
          <cell r="AJ8">
            <v>1717.4</v>
          </cell>
          <cell r="AP8">
            <v>2186.9</v>
          </cell>
        </row>
        <row r="9">
          <cell r="AJ9">
            <v>789.5</v>
          </cell>
          <cell r="AP9">
            <v>1393.8</v>
          </cell>
        </row>
        <row r="10">
          <cell r="AJ10">
            <v>1477.4</v>
          </cell>
          <cell r="AP10">
            <v>2268.3</v>
          </cell>
        </row>
        <row r="11">
          <cell r="AJ11">
            <v>1572.3</v>
          </cell>
          <cell r="AP11">
            <v>2060.3</v>
          </cell>
        </row>
        <row r="12">
          <cell r="AJ12">
            <v>1351.9</v>
          </cell>
          <cell r="AP12">
            <v>2965</v>
          </cell>
        </row>
        <row r="13">
          <cell r="AJ13">
            <v>1443.5</v>
          </cell>
          <cell r="AP13">
            <v>2504.9</v>
          </cell>
        </row>
        <row r="14">
          <cell r="AJ14">
            <v>447</v>
          </cell>
          <cell r="AP14">
            <v>1723.5</v>
          </cell>
        </row>
        <row r="15">
          <cell r="AJ15">
            <v>137.6</v>
          </cell>
          <cell r="AP15">
            <v>674.4</v>
          </cell>
        </row>
        <row r="16">
          <cell r="AJ16">
            <v>137.6</v>
          </cell>
          <cell r="AP16">
            <v>429.8</v>
          </cell>
        </row>
        <row r="17">
          <cell r="AJ17">
            <v>293.3</v>
          </cell>
          <cell r="AP17">
            <v>942.5</v>
          </cell>
        </row>
        <row r="18">
          <cell r="AJ18">
            <v>167.7</v>
          </cell>
          <cell r="AP18">
            <v>792.5</v>
          </cell>
        </row>
        <row r="19">
          <cell r="AJ19">
            <v>166.1</v>
          </cell>
          <cell r="AP19">
            <v>770.9</v>
          </cell>
        </row>
        <row r="20">
          <cell r="AJ20">
            <v>198.4</v>
          </cell>
          <cell r="AP20">
            <v>867.6</v>
          </cell>
        </row>
        <row r="21">
          <cell r="AJ21">
            <v>56.2</v>
          </cell>
          <cell r="AP21">
            <v>606.6</v>
          </cell>
        </row>
        <row r="22">
          <cell r="AJ22">
            <v>41.5</v>
          </cell>
          <cell r="AP22">
            <v>634.1</v>
          </cell>
        </row>
        <row r="23">
          <cell r="AJ23">
            <v>56.2</v>
          </cell>
          <cell r="AP23">
            <v>626.6</v>
          </cell>
        </row>
        <row r="24">
          <cell r="AJ24">
            <v>129.2</v>
          </cell>
          <cell r="AP24">
            <v>619.7</v>
          </cell>
        </row>
        <row r="25">
          <cell r="AJ25">
            <v>381.8</v>
          </cell>
          <cell r="AP25">
            <v>1038</v>
          </cell>
        </row>
        <row r="26">
          <cell r="AJ26">
            <v>310</v>
          </cell>
          <cell r="AP26">
            <v>1022.8</v>
          </cell>
        </row>
        <row r="27">
          <cell r="AJ27">
            <v>453.5</v>
          </cell>
          <cell r="AP27">
            <v>1203.8</v>
          </cell>
        </row>
        <row r="28">
          <cell r="AJ28">
            <v>370.5</v>
          </cell>
          <cell r="AP28">
            <v>1195.4</v>
          </cell>
        </row>
        <row r="29">
          <cell r="AJ29">
            <v>571.2</v>
          </cell>
          <cell r="AP29">
            <v>1374.4</v>
          </cell>
        </row>
        <row r="30">
          <cell r="AJ30">
            <v>68.3</v>
          </cell>
          <cell r="AP30">
            <v>605.1</v>
          </cell>
        </row>
        <row r="31">
          <cell r="AJ31">
            <v>90.3</v>
          </cell>
          <cell r="AP31">
            <v>463.8</v>
          </cell>
        </row>
        <row r="32">
          <cell r="AJ32">
            <v>171.1</v>
          </cell>
          <cell r="AP32">
            <v>597.6</v>
          </cell>
        </row>
        <row r="33">
          <cell r="AJ33">
            <v>63.5</v>
          </cell>
          <cell r="AP33">
            <v>680.2</v>
          </cell>
        </row>
        <row r="34">
          <cell r="AJ34">
            <v>173.6</v>
          </cell>
          <cell r="AP34">
            <v>686.3</v>
          </cell>
        </row>
        <row r="35">
          <cell r="AJ35">
            <v>146.4</v>
          </cell>
          <cell r="AP35">
            <v>122.9</v>
          </cell>
        </row>
        <row r="36">
          <cell r="AJ36">
            <v>163.7</v>
          </cell>
          <cell r="AP36">
            <v>1029.6</v>
          </cell>
        </row>
        <row r="37">
          <cell r="AJ37">
            <v>59.5</v>
          </cell>
          <cell r="AP37">
            <v>370.5</v>
          </cell>
        </row>
        <row r="38">
          <cell r="AJ38">
            <v>119.6</v>
          </cell>
          <cell r="AP38">
            <v>680.8</v>
          </cell>
        </row>
        <row r="39">
          <cell r="AJ39">
            <v>214.7</v>
          </cell>
          <cell r="AP39">
            <v>1102.7</v>
          </cell>
        </row>
        <row r="40">
          <cell r="AJ40">
            <v>46.3</v>
          </cell>
          <cell r="AP40">
            <v>689.2</v>
          </cell>
        </row>
        <row r="41">
          <cell r="AJ41">
            <v>183</v>
          </cell>
          <cell r="AP41">
            <v>674.2</v>
          </cell>
        </row>
        <row r="42">
          <cell r="AJ42">
            <v>92.7</v>
          </cell>
          <cell r="AP42">
            <v>690.7</v>
          </cell>
        </row>
        <row r="43">
          <cell r="AJ43">
            <v>41.5</v>
          </cell>
          <cell r="AP43">
            <v>527</v>
          </cell>
        </row>
        <row r="44">
          <cell r="AJ44">
            <v>65.9</v>
          </cell>
          <cell r="AP44">
            <v>534.2</v>
          </cell>
        </row>
        <row r="45">
          <cell r="AJ45">
            <v>75.7</v>
          </cell>
          <cell r="AP45">
            <v>471.2</v>
          </cell>
        </row>
        <row r="46">
          <cell r="AJ46">
            <v>78.1</v>
          </cell>
          <cell r="AP46">
            <v>452.5</v>
          </cell>
        </row>
        <row r="47">
          <cell r="AJ47">
            <v>53.4</v>
          </cell>
          <cell r="AP47">
            <v>273.8</v>
          </cell>
        </row>
        <row r="48">
          <cell r="AP48">
            <v>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view="pageBreakPreview" zoomScale="81" zoomScaleNormal="71" zoomScaleSheetLayoutView="81" zoomScalePageLayoutView="0" workbookViewId="0" topLeftCell="A1">
      <pane xSplit="2" ySplit="6" topLeftCell="S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0" sqref="B60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5" width="17.28125" style="13" customWidth="1"/>
    <col min="6" max="6" width="18.140625" style="13" customWidth="1"/>
    <col min="7" max="7" width="20.00390625" style="13" customWidth="1"/>
    <col min="8" max="8" width="21.00390625" style="14" customWidth="1"/>
    <col min="9" max="9" width="18.421875" style="14" customWidth="1"/>
    <col min="10" max="13" width="19.28125" style="14" customWidth="1"/>
    <col min="14" max="16" width="18.28125" style="14" customWidth="1"/>
    <col min="17" max="17" width="17.140625" style="14" customWidth="1"/>
    <col min="18" max="18" width="19.140625" style="1" customWidth="1"/>
    <col min="19" max="19" width="16.57421875" style="1" customWidth="1"/>
    <col min="20" max="20" width="21.28125" style="1" customWidth="1"/>
    <col min="21" max="21" width="25.140625" style="1" customWidth="1"/>
    <col min="22" max="22" width="26.00390625" style="1" customWidth="1"/>
    <col min="23" max="24" width="28.7109375" style="1" customWidth="1"/>
    <col min="25" max="16384" width="9.140625" style="1" customWidth="1"/>
  </cols>
  <sheetData>
    <row r="1" spans="1:17" ht="15.75">
      <c r="A1" s="44"/>
      <c r="B1" s="44"/>
      <c r="C1" s="44"/>
      <c r="D1" s="44"/>
      <c r="E1" s="44"/>
      <c r="F1" s="44"/>
      <c r="G1" s="117" t="s">
        <v>91</v>
      </c>
      <c r="H1" s="117"/>
      <c r="I1" s="44"/>
      <c r="J1" s="44"/>
      <c r="K1" s="44"/>
      <c r="L1" s="44"/>
      <c r="M1" s="44"/>
      <c r="N1" s="44"/>
      <c r="O1" s="44"/>
      <c r="P1" s="44"/>
      <c r="Q1" s="44"/>
    </row>
    <row r="2" spans="1:26" ht="18.75">
      <c r="A2" s="45"/>
      <c r="B2" s="45"/>
      <c r="C2" s="45"/>
      <c r="D2" s="45"/>
      <c r="E2" s="118" t="s">
        <v>86</v>
      </c>
      <c r="F2" s="118"/>
      <c r="G2" s="118"/>
      <c r="H2" s="118"/>
      <c r="I2" s="2"/>
      <c r="J2" s="2"/>
      <c r="K2" s="2"/>
      <c r="L2" s="2"/>
      <c r="M2" s="2"/>
      <c r="N2" s="2"/>
      <c r="O2" s="2"/>
      <c r="P2" s="2"/>
      <c r="Q2" s="2"/>
      <c r="T2" s="48"/>
      <c r="U2" s="48"/>
      <c r="V2" s="48"/>
      <c r="W2" s="48"/>
      <c r="X2" s="48"/>
      <c r="Y2" s="48"/>
      <c r="Z2" s="48"/>
    </row>
    <row r="3" spans="1:26" ht="27.75" customHeight="1">
      <c r="A3" s="110" t="s">
        <v>0</v>
      </c>
      <c r="B3" s="107" t="s">
        <v>63</v>
      </c>
      <c r="C3" s="113" t="s">
        <v>87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3" t="s">
        <v>87</v>
      </c>
      <c r="O3" s="114"/>
      <c r="P3" s="114"/>
      <c r="Q3" s="114"/>
      <c r="R3" s="114"/>
      <c r="S3" s="114"/>
      <c r="T3" s="116" t="s">
        <v>87</v>
      </c>
      <c r="U3" s="116"/>
      <c r="V3" s="116"/>
      <c r="W3" s="116"/>
      <c r="X3" s="116"/>
      <c r="Y3" s="49"/>
      <c r="Z3" s="49"/>
    </row>
    <row r="4" spans="1:26" ht="27.75" customHeight="1">
      <c r="A4" s="111"/>
      <c r="B4" s="108"/>
      <c r="C4" s="113" t="s">
        <v>46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3" t="s">
        <v>46</v>
      </c>
      <c r="O4" s="114"/>
      <c r="P4" s="114"/>
      <c r="Q4" s="114"/>
      <c r="R4" s="114"/>
      <c r="S4" s="114"/>
      <c r="T4" s="116" t="s">
        <v>46</v>
      </c>
      <c r="U4" s="116"/>
      <c r="V4" s="116"/>
      <c r="W4" s="116"/>
      <c r="X4" s="116"/>
      <c r="Y4" s="49"/>
      <c r="Z4" s="49"/>
    </row>
    <row r="5" spans="1:24" ht="27.75" customHeight="1">
      <c r="A5" s="111"/>
      <c r="B5" s="108"/>
      <c r="C5" s="113" t="s">
        <v>49</v>
      </c>
      <c r="D5" s="114"/>
      <c r="E5" s="115"/>
      <c r="F5" s="116" t="s">
        <v>47</v>
      </c>
      <c r="G5" s="116" t="s">
        <v>85</v>
      </c>
      <c r="H5" s="116" t="s">
        <v>88</v>
      </c>
      <c r="I5" s="116" t="s">
        <v>68</v>
      </c>
      <c r="J5" s="116" t="s">
        <v>67</v>
      </c>
      <c r="K5" s="116" t="s">
        <v>69</v>
      </c>
      <c r="L5" s="116" t="s">
        <v>50</v>
      </c>
      <c r="M5" s="116" t="s">
        <v>51</v>
      </c>
      <c r="N5" s="113" t="s">
        <v>49</v>
      </c>
      <c r="O5" s="114"/>
      <c r="P5" s="115"/>
      <c r="Q5" s="116" t="s">
        <v>47</v>
      </c>
      <c r="R5" s="116" t="s">
        <v>85</v>
      </c>
      <c r="S5" s="116" t="s">
        <v>88</v>
      </c>
      <c r="T5" s="119" t="s">
        <v>68</v>
      </c>
      <c r="U5" s="119" t="s">
        <v>67</v>
      </c>
      <c r="V5" s="119" t="s">
        <v>69</v>
      </c>
      <c r="W5" s="116" t="s">
        <v>50</v>
      </c>
      <c r="X5" s="120" t="s">
        <v>52</v>
      </c>
    </row>
    <row r="6" spans="1:24" ht="192" customHeight="1">
      <c r="A6" s="112"/>
      <c r="B6" s="109"/>
      <c r="C6" s="61" t="s">
        <v>65</v>
      </c>
      <c r="D6" s="60" t="s">
        <v>66</v>
      </c>
      <c r="E6" s="60" t="s">
        <v>64</v>
      </c>
      <c r="F6" s="116"/>
      <c r="G6" s="116"/>
      <c r="H6" s="116"/>
      <c r="I6" s="116"/>
      <c r="J6" s="116"/>
      <c r="K6" s="116"/>
      <c r="L6" s="116"/>
      <c r="M6" s="116"/>
      <c r="N6" s="60" t="s">
        <v>70</v>
      </c>
      <c r="O6" s="60" t="s">
        <v>71</v>
      </c>
      <c r="P6" s="62" t="s">
        <v>72</v>
      </c>
      <c r="Q6" s="116"/>
      <c r="R6" s="116"/>
      <c r="S6" s="116"/>
      <c r="T6" s="116"/>
      <c r="U6" s="116"/>
      <c r="V6" s="116"/>
      <c r="W6" s="116"/>
      <c r="X6" s="121"/>
    </row>
    <row r="7" spans="1:24" s="15" customFormat="1" ht="17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  <c r="W7" s="34">
        <v>23</v>
      </c>
      <c r="X7" s="34">
        <v>24</v>
      </c>
    </row>
    <row r="8" spans="1:24" s="24" customFormat="1" ht="15.75">
      <c r="A8" s="30">
        <v>1</v>
      </c>
      <c r="B8" s="22" t="s">
        <v>1</v>
      </c>
      <c r="C8" s="70"/>
      <c r="D8" s="70"/>
      <c r="E8" s="71"/>
      <c r="F8" s="23">
        <v>95.41</v>
      </c>
      <c r="G8" s="29">
        <v>53.1</v>
      </c>
      <c r="H8" s="38">
        <f>ROUND(F8*G8/100*247,0)</f>
        <v>12514</v>
      </c>
      <c r="I8" s="38">
        <f aca="true" t="shared" si="0" ref="I8:I52">H8</f>
        <v>12514</v>
      </c>
      <c r="J8" s="38">
        <v>8923</v>
      </c>
      <c r="K8" s="38">
        <v>9579</v>
      </c>
      <c r="L8" s="38">
        <v>4725</v>
      </c>
      <c r="M8" s="38">
        <f>J8+L8</f>
        <v>13648</v>
      </c>
      <c r="N8" s="72">
        <v>102</v>
      </c>
      <c r="O8" s="72"/>
      <c r="P8" s="72">
        <v>1</v>
      </c>
      <c r="Q8" s="21">
        <v>103.9</v>
      </c>
      <c r="R8" s="29">
        <v>53.1</v>
      </c>
      <c r="S8" s="38">
        <f>ROUND((Q8)*R8/100*247,0)</f>
        <v>13627</v>
      </c>
      <c r="T8" s="37">
        <f aca="true" t="shared" si="1" ref="T8:T52">S8</f>
        <v>13627</v>
      </c>
      <c r="U8" s="37">
        <v>10153</v>
      </c>
      <c r="V8" s="38">
        <f>K8</f>
        <v>9579</v>
      </c>
      <c r="W8" s="37">
        <v>4725</v>
      </c>
      <c r="X8" s="37">
        <f>U8+W8</f>
        <v>14878</v>
      </c>
    </row>
    <row r="9" spans="1:24" s="24" customFormat="1" ht="15.75">
      <c r="A9" s="31">
        <v>2</v>
      </c>
      <c r="B9" s="22" t="s">
        <v>2</v>
      </c>
      <c r="C9" s="73">
        <v>25</v>
      </c>
      <c r="D9" s="73"/>
      <c r="E9" s="74"/>
      <c r="F9" s="23">
        <v>95.41</v>
      </c>
      <c r="G9" s="29">
        <v>53.1</v>
      </c>
      <c r="H9" s="38">
        <f aca="true" t="shared" si="2" ref="H9:H55">ROUND(F9*G9/100*247,0)</f>
        <v>12514</v>
      </c>
      <c r="I9" s="38">
        <f t="shared" si="0"/>
        <v>12514</v>
      </c>
      <c r="J9" s="38">
        <v>8923</v>
      </c>
      <c r="K9" s="38">
        <v>9257</v>
      </c>
      <c r="L9" s="38">
        <v>4725</v>
      </c>
      <c r="M9" s="38">
        <f aca="true" t="shared" si="3" ref="M9:M56">J9+L9</f>
        <v>13648</v>
      </c>
      <c r="N9" s="75">
        <v>102</v>
      </c>
      <c r="O9" s="75">
        <v>1</v>
      </c>
      <c r="P9" s="75">
        <v>1</v>
      </c>
      <c r="Q9" s="21">
        <v>103.9</v>
      </c>
      <c r="R9" s="29">
        <v>53.1</v>
      </c>
      <c r="S9" s="38">
        <f aca="true" t="shared" si="4" ref="S9:S55">ROUND((Q9)*R9/100*247,0)</f>
        <v>13627</v>
      </c>
      <c r="T9" s="37">
        <f t="shared" si="1"/>
        <v>13627</v>
      </c>
      <c r="U9" s="37">
        <v>10153</v>
      </c>
      <c r="V9" s="38">
        <f aca="true" t="shared" si="5" ref="V9:V52">K9</f>
        <v>9257</v>
      </c>
      <c r="W9" s="37">
        <v>4725</v>
      </c>
      <c r="X9" s="37">
        <f aca="true" t="shared" si="6" ref="X9:X56">U9+W9</f>
        <v>14878</v>
      </c>
    </row>
    <row r="10" spans="1:24" s="24" customFormat="1" ht="15.75">
      <c r="A10" s="30">
        <v>3</v>
      </c>
      <c r="B10" s="22" t="s">
        <v>3</v>
      </c>
      <c r="C10" s="73">
        <v>20</v>
      </c>
      <c r="D10" s="73"/>
      <c r="E10" s="74"/>
      <c r="F10" s="23">
        <v>95.41</v>
      </c>
      <c r="G10" s="29">
        <v>53.1</v>
      </c>
      <c r="H10" s="38">
        <f t="shared" si="2"/>
        <v>12514</v>
      </c>
      <c r="I10" s="38">
        <f t="shared" si="0"/>
        <v>12514</v>
      </c>
      <c r="J10" s="38">
        <v>8923</v>
      </c>
      <c r="K10" s="38">
        <v>10523</v>
      </c>
      <c r="L10" s="38">
        <v>4725</v>
      </c>
      <c r="M10" s="38">
        <f t="shared" si="3"/>
        <v>13648</v>
      </c>
      <c r="N10" s="75">
        <v>121</v>
      </c>
      <c r="O10" s="75">
        <v>1</v>
      </c>
      <c r="P10" s="75"/>
      <c r="Q10" s="21">
        <v>103.9</v>
      </c>
      <c r="R10" s="29">
        <v>53.1</v>
      </c>
      <c r="S10" s="38">
        <f t="shared" si="4"/>
        <v>13627</v>
      </c>
      <c r="T10" s="37">
        <f t="shared" si="1"/>
        <v>13627</v>
      </c>
      <c r="U10" s="37">
        <v>10153</v>
      </c>
      <c r="V10" s="38">
        <f t="shared" si="5"/>
        <v>10523</v>
      </c>
      <c r="W10" s="37">
        <v>4725</v>
      </c>
      <c r="X10" s="37">
        <f t="shared" si="6"/>
        <v>14878</v>
      </c>
    </row>
    <row r="11" spans="1:24" s="24" customFormat="1" ht="15.75">
      <c r="A11" s="31">
        <v>4</v>
      </c>
      <c r="B11" s="22" t="s">
        <v>4</v>
      </c>
      <c r="C11" s="73">
        <v>45</v>
      </c>
      <c r="D11" s="76"/>
      <c r="E11" s="74"/>
      <c r="F11" s="23">
        <v>95.41</v>
      </c>
      <c r="G11" s="29">
        <v>53.1</v>
      </c>
      <c r="H11" s="38">
        <f t="shared" si="2"/>
        <v>12514</v>
      </c>
      <c r="I11" s="38">
        <f t="shared" si="0"/>
        <v>12514</v>
      </c>
      <c r="J11" s="38">
        <v>8923</v>
      </c>
      <c r="K11" s="38">
        <v>8237</v>
      </c>
      <c r="L11" s="38">
        <v>4725</v>
      </c>
      <c r="M11" s="38">
        <f t="shared" si="3"/>
        <v>13648</v>
      </c>
      <c r="N11" s="75">
        <v>191</v>
      </c>
      <c r="O11" s="75">
        <v>4</v>
      </c>
      <c r="P11" s="75">
        <v>3</v>
      </c>
      <c r="Q11" s="21">
        <v>103.9</v>
      </c>
      <c r="R11" s="29">
        <v>53.1</v>
      </c>
      <c r="S11" s="38">
        <f t="shared" si="4"/>
        <v>13627</v>
      </c>
      <c r="T11" s="37">
        <f t="shared" si="1"/>
        <v>13627</v>
      </c>
      <c r="U11" s="37">
        <v>10153</v>
      </c>
      <c r="V11" s="38">
        <f t="shared" si="5"/>
        <v>8237</v>
      </c>
      <c r="W11" s="37">
        <v>4725</v>
      </c>
      <c r="X11" s="37">
        <f t="shared" si="6"/>
        <v>14878</v>
      </c>
    </row>
    <row r="12" spans="1:24" s="24" customFormat="1" ht="15.75">
      <c r="A12" s="30">
        <v>5</v>
      </c>
      <c r="B12" s="22" t="s">
        <v>5</v>
      </c>
      <c r="C12" s="73">
        <v>74</v>
      </c>
      <c r="D12" s="73">
        <v>1</v>
      </c>
      <c r="E12" s="74"/>
      <c r="F12" s="23">
        <v>95.41</v>
      </c>
      <c r="G12" s="29">
        <v>53.1</v>
      </c>
      <c r="H12" s="38">
        <f t="shared" si="2"/>
        <v>12514</v>
      </c>
      <c r="I12" s="38">
        <f t="shared" si="0"/>
        <v>12514</v>
      </c>
      <c r="J12" s="38">
        <v>8923</v>
      </c>
      <c r="K12" s="38">
        <v>7923</v>
      </c>
      <c r="L12" s="38">
        <v>4725</v>
      </c>
      <c r="M12" s="38">
        <f t="shared" si="3"/>
        <v>13648</v>
      </c>
      <c r="N12" s="75">
        <v>196</v>
      </c>
      <c r="O12" s="75"/>
      <c r="P12" s="75">
        <v>5</v>
      </c>
      <c r="Q12" s="21">
        <v>103.9</v>
      </c>
      <c r="R12" s="29">
        <v>53.1</v>
      </c>
      <c r="S12" s="38">
        <f t="shared" si="4"/>
        <v>13627</v>
      </c>
      <c r="T12" s="37">
        <f t="shared" si="1"/>
        <v>13627</v>
      </c>
      <c r="U12" s="37">
        <v>10153</v>
      </c>
      <c r="V12" s="38">
        <f t="shared" si="5"/>
        <v>7923</v>
      </c>
      <c r="W12" s="37">
        <v>4725</v>
      </c>
      <c r="X12" s="37">
        <f t="shared" si="6"/>
        <v>14878</v>
      </c>
    </row>
    <row r="13" spans="1:24" s="24" customFormat="1" ht="15.75">
      <c r="A13" s="31">
        <v>6</v>
      </c>
      <c r="B13" s="22" t="s">
        <v>6</v>
      </c>
      <c r="C13" s="73"/>
      <c r="D13" s="73"/>
      <c r="E13" s="74"/>
      <c r="F13" s="23">
        <v>95.41</v>
      </c>
      <c r="G13" s="29">
        <v>53.1</v>
      </c>
      <c r="H13" s="38">
        <f t="shared" si="2"/>
        <v>12514</v>
      </c>
      <c r="I13" s="38">
        <f t="shared" si="0"/>
        <v>12514</v>
      </c>
      <c r="J13" s="38">
        <v>8923</v>
      </c>
      <c r="K13" s="38">
        <v>8711</v>
      </c>
      <c r="L13" s="38">
        <v>4725</v>
      </c>
      <c r="M13" s="38">
        <f t="shared" si="3"/>
        <v>13648</v>
      </c>
      <c r="N13" s="75">
        <v>156</v>
      </c>
      <c r="O13" s="75">
        <v>3</v>
      </c>
      <c r="P13" s="75">
        <v>1</v>
      </c>
      <c r="Q13" s="21">
        <v>103.9</v>
      </c>
      <c r="R13" s="29">
        <v>53.1</v>
      </c>
      <c r="S13" s="38">
        <f t="shared" si="4"/>
        <v>13627</v>
      </c>
      <c r="T13" s="37">
        <f t="shared" si="1"/>
        <v>13627</v>
      </c>
      <c r="U13" s="37">
        <v>10153</v>
      </c>
      <c r="V13" s="38">
        <f t="shared" si="5"/>
        <v>8711</v>
      </c>
      <c r="W13" s="37">
        <v>4725</v>
      </c>
      <c r="X13" s="37">
        <f t="shared" si="6"/>
        <v>14878</v>
      </c>
    </row>
    <row r="14" spans="1:24" s="24" customFormat="1" ht="15.75">
      <c r="A14" s="30">
        <v>7</v>
      </c>
      <c r="B14" s="22" t="s">
        <v>7</v>
      </c>
      <c r="C14" s="77">
        <v>25</v>
      </c>
      <c r="D14" s="77"/>
      <c r="E14" s="78"/>
      <c r="F14" s="23">
        <v>95.41</v>
      </c>
      <c r="G14" s="29">
        <v>53.1</v>
      </c>
      <c r="H14" s="38">
        <f t="shared" si="2"/>
        <v>12514</v>
      </c>
      <c r="I14" s="38">
        <f t="shared" si="0"/>
        <v>12514</v>
      </c>
      <c r="J14" s="38">
        <v>8923</v>
      </c>
      <c r="K14" s="38">
        <v>8724</v>
      </c>
      <c r="L14" s="38">
        <v>4725</v>
      </c>
      <c r="M14" s="38">
        <f t="shared" si="3"/>
        <v>13648</v>
      </c>
      <c r="N14" s="75">
        <v>234</v>
      </c>
      <c r="O14" s="75">
        <v>1</v>
      </c>
      <c r="P14" s="75"/>
      <c r="Q14" s="21">
        <v>103.9</v>
      </c>
      <c r="R14" s="29">
        <v>53.1</v>
      </c>
      <c r="S14" s="38">
        <f t="shared" si="4"/>
        <v>13627</v>
      </c>
      <c r="T14" s="37">
        <f t="shared" si="1"/>
        <v>13627</v>
      </c>
      <c r="U14" s="37">
        <v>10153</v>
      </c>
      <c r="V14" s="38">
        <f t="shared" si="5"/>
        <v>8724</v>
      </c>
      <c r="W14" s="37">
        <v>4725</v>
      </c>
      <c r="X14" s="37">
        <f t="shared" si="6"/>
        <v>14878</v>
      </c>
    </row>
    <row r="15" spans="1:24" s="24" customFormat="1" ht="15.75">
      <c r="A15" s="31">
        <v>8</v>
      </c>
      <c r="B15" s="22" t="s">
        <v>8</v>
      </c>
      <c r="C15" s="73">
        <v>44</v>
      </c>
      <c r="D15" s="73"/>
      <c r="E15" s="74"/>
      <c r="F15" s="23">
        <v>95.41</v>
      </c>
      <c r="G15" s="29">
        <v>53.1</v>
      </c>
      <c r="H15" s="38">
        <f t="shared" si="2"/>
        <v>12514</v>
      </c>
      <c r="I15" s="38">
        <f t="shared" si="0"/>
        <v>12514</v>
      </c>
      <c r="J15" s="38">
        <v>8923</v>
      </c>
      <c r="K15" s="38">
        <v>7631</v>
      </c>
      <c r="L15" s="38">
        <v>4725</v>
      </c>
      <c r="M15" s="38">
        <f t="shared" si="3"/>
        <v>13648</v>
      </c>
      <c r="N15" s="75">
        <v>224</v>
      </c>
      <c r="O15" s="75"/>
      <c r="P15" s="75">
        <v>2</v>
      </c>
      <c r="Q15" s="21">
        <v>103.9</v>
      </c>
      <c r="R15" s="29">
        <v>53.1</v>
      </c>
      <c r="S15" s="38">
        <f t="shared" si="4"/>
        <v>13627</v>
      </c>
      <c r="T15" s="37">
        <f t="shared" si="1"/>
        <v>13627</v>
      </c>
      <c r="U15" s="37">
        <v>10153</v>
      </c>
      <c r="V15" s="38">
        <f t="shared" si="5"/>
        <v>7631</v>
      </c>
      <c r="W15" s="37">
        <v>4725</v>
      </c>
      <c r="X15" s="37">
        <f t="shared" si="6"/>
        <v>14878</v>
      </c>
    </row>
    <row r="16" spans="1:24" s="24" customFormat="1" ht="15.75">
      <c r="A16" s="30">
        <v>9</v>
      </c>
      <c r="B16" s="22" t="s">
        <v>9</v>
      </c>
      <c r="C16" s="73">
        <v>40</v>
      </c>
      <c r="D16" s="73">
        <v>1</v>
      </c>
      <c r="E16" s="74"/>
      <c r="F16" s="23">
        <v>95.41</v>
      </c>
      <c r="G16" s="29">
        <v>53.1</v>
      </c>
      <c r="H16" s="38">
        <f t="shared" si="2"/>
        <v>12514</v>
      </c>
      <c r="I16" s="38">
        <f t="shared" si="0"/>
        <v>12514</v>
      </c>
      <c r="J16" s="38">
        <v>8923</v>
      </c>
      <c r="K16" s="38">
        <v>13296</v>
      </c>
      <c r="L16" s="38">
        <v>4725</v>
      </c>
      <c r="M16" s="38">
        <f t="shared" si="3"/>
        <v>13648</v>
      </c>
      <c r="N16" s="75">
        <v>180</v>
      </c>
      <c r="O16" s="75">
        <v>2</v>
      </c>
      <c r="P16" s="75"/>
      <c r="Q16" s="21">
        <v>103.9</v>
      </c>
      <c r="R16" s="29">
        <v>53.1</v>
      </c>
      <c r="S16" s="38">
        <f t="shared" si="4"/>
        <v>13627</v>
      </c>
      <c r="T16" s="37">
        <f t="shared" si="1"/>
        <v>13627</v>
      </c>
      <c r="U16" s="37">
        <v>10153</v>
      </c>
      <c r="V16" s="38">
        <f t="shared" si="5"/>
        <v>13296</v>
      </c>
      <c r="W16" s="37">
        <v>4725</v>
      </c>
      <c r="X16" s="37">
        <f t="shared" si="6"/>
        <v>14878</v>
      </c>
    </row>
    <row r="17" spans="1:24" s="24" customFormat="1" ht="15.75">
      <c r="A17" s="31">
        <v>10</v>
      </c>
      <c r="B17" s="22" t="s">
        <v>10</v>
      </c>
      <c r="C17" s="73">
        <v>45</v>
      </c>
      <c r="D17" s="73"/>
      <c r="E17" s="74"/>
      <c r="F17" s="23">
        <v>95.41</v>
      </c>
      <c r="G17" s="29">
        <v>53.1</v>
      </c>
      <c r="H17" s="38">
        <f t="shared" si="2"/>
        <v>12514</v>
      </c>
      <c r="I17" s="38">
        <f t="shared" si="0"/>
        <v>12514</v>
      </c>
      <c r="J17" s="38">
        <v>8923</v>
      </c>
      <c r="K17" s="38">
        <v>10704</v>
      </c>
      <c r="L17" s="38">
        <v>4725</v>
      </c>
      <c r="M17" s="38">
        <f t="shared" si="3"/>
        <v>13648</v>
      </c>
      <c r="N17" s="75">
        <v>189</v>
      </c>
      <c r="O17" s="75"/>
      <c r="P17" s="75"/>
      <c r="Q17" s="21">
        <v>103.9</v>
      </c>
      <c r="R17" s="29">
        <v>53.1</v>
      </c>
      <c r="S17" s="38">
        <f t="shared" si="4"/>
        <v>13627</v>
      </c>
      <c r="T17" s="37">
        <f t="shared" si="1"/>
        <v>13627</v>
      </c>
      <c r="U17" s="37">
        <v>10153</v>
      </c>
      <c r="V17" s="38">
        <f t="shared" si="5"/>
        <v>10704</v>
      </c>
      <c r="W17" s="37">
        <v>4725</v>
      </c>
      <c r="X17" s="37">
        <f t="shared" si="6"/>
        <v>14878</v>
      </c>
    </row>
    <row r="18" spans="1:24" s="24" customFormat="1" ht="15.75">
      <c r="A18" s="30">
        <v>11</v>
      </c>
      <c r="B18" s="25" t="s">
        <v>11</v>
      </c>
      <c r="C18" s="79">
        <v>21</v>
      </c>
      <c r="D18" s="79">
        <v>1</v>
      </c>
      <c r="E18" s="80"/>
      <c r="F18" s="23">
        <v>95.41</v>
      </c>
      <c r="G18" s="29">
        <v>53.1</v>
      </c>
      <c r="H18" s="38">
        <f t="shared" si="2"/>
        <v>12514</v>
      </c>
      <c r="I18" s="38">
        <f t="shared" si="0"/>
        <v>12514</v>
      </c>
      <c r="J18" s="38">
        <v>8923</v>
      </c>
      <c r="K18" s="38">
        <v>19365</v>
      </c>
      <c r="L18" s="38">
        <v>4725</v>
      </c>
      <c r="M18" s="38">
        <f t="shared" si="3"/>
        <v>13648</v>
      </c>
      <c r="N18" s="81">
        <v>65</v>
      </c>
      <c r="O18" s="81">
        <v>1</v>
      </c>
      <c r="P18" s="81">
        <v>1</v>
      </c>
      <c r="Q18" s="21">
        <v>103.9</v>
      </c>
      <c r="R18" s="29">
        <v>53.1</v>
      </c>
      <c r="S18" s="38">
        <f t="shared" si="4"/>
        <v>13627</v>
      </c>
      <c r="T18" s="37">
        <f t="shared" si="1"/>
        <v>13627</v>
      </c>
      <c r="U18" s="37">
        <v>10153</v>
      </c>
      <c r="V18" s="38">
        <f t="shared" si="5"/>
        <v>19365</v>
      </c>
      <c r="W18" s="37">
        <v>4725</v>
      </c>
      <c r="X18" s="37">
        <f t="shared" si="6"/>
        <v>14878</v>
      </c>
    </row>
    <row r="19" spans="1:24" s="24" customFormat="1" ht="15.75">
      <c r="A19" s="31">
        <v>12</v>
      </c>
      <c r="B19" s="22" t="s">
        <v>25</v>
      </c>
      <c r="C19" s="73"/>
      <c r="D19" s="73"/>
      <c r="E19" s="74"/>
      <c r="F19" s="23">
        <v>68.03</v>
      </c>
      <c r="G19" s="29">
        <v>53.1</v>
      </c>
      <c r="H19" s="38">
        <f t="shared" si="2"/>
        <v>8923</v>
      </c>
      <c r="I19" s="38">
        <f t="shared" si="0"/>
        <v>8923</v>
      </c>
      <c r="J19" s="38">
        <v>8923</v>
      </c>
      <c r="K19" s="38">
        <v>25938</v>
      </c>
      <c r="L19" s="38">
        <v>4725</v>
      </c>
      <c r="M19" s="38">
        <f t="shared" si="3"/>
        <v>13648</v>
      </c>
      <c r="N19" s="75">
        <v>24</v>
      </c>
      <c r="O19" s="75">
        <v>1</v>
      </c>
      <c r="P19" s="75">
        <v>1</v>
      </c>
      <c r="Q19" s="36">
        <v>77.41</v>
      </c>
      <c r="R19" s="29">
        <v>53.1</v>
      </c>
      <c r="S19" s="38">
        <f t="shared" si="4"/>
        <v>10153</v>
      </c>
      <c r="T19" s="37">
        <f t="shared" si="1"/>
        <v>10153</v>
      </c>
      <c r="U19" s="37">
        <v>10153</v>
      </c>
      <c r="V19" s="38">
        <f t="shared" si="5"/>
        <v>25938</v>
      </c>
      <c r="W19" s="37">
        <v>4725</v>
      </c>
      <c r="X19" s="37">
        <f t="shared" si="6"/>
        <v>14878</v>
      </c>
    </row>
    <row r="20" spans="1:24" s="24" customFormat="1" ht="15.75">
      <c r="A20" s="30">
        <v>13</v>
      </c>
      <c r="B20" s="22" t="s">
        <v>24</v>
      </c>
      <c r="C20" s="77"/>
      <c r="D20" s="77"/>
      <c r="E20" s="78"/>
      <c r="F20" s="23">
        <v>68.03</v>
      </c>
      <c r="G20" s="29">
        <v>53.1</v>
      </c>
      <c r="H20" s="38">
        <f t="shared" si="2"/>
        <v>8923</v>
      </c>
      <c r="I20" s="38">
        <f t="shared" si="0"/>
        <v>8923</v>
      </c>
      <c r="J20" s="38">
        <v>8923</v>
      </c>
      <c r="K20" s="38">
        <v>17192</v>
      </c>
      <c r="L20" s="38">
        <v>4725</v>
      </c>
      <c r="M20" s="38">
        <f t="shared" si="3"/>
        <v>13648</v>
      </c>
      <c r="N20" s="75">
        <v>23</v>
      </c>
      <c r="O20" s="75"/>
      <c r="P20" s="75">
        <v>2</v>
      </c>
      <c r="Q20" s="36">
        <v>77.41</v>
      </c>
      <c r="R20" s="29">
        <v>53.1</v>
      </c>
      <c r="S20" s="38">
        <f t="shared" si="4"/>
        <v>10153</v>
      </c>
      <c r="T20" s="37">
        <f t="shared" si="1"/>
        <v>10153</v>
      </c>
      <c r="U20" s="37">
        <v>10153</v>
      </c>
      <c r="V20" s="38">
        <f t="shared" si="5"/>
        <v>17192</v>
      </c>
      <c r="W20" s="37">
        <v>4725</v>
      </c>
      <c r="X20" s="37">
        <f t="shared" si="6"/>
        <v>14878</v>
      </c>
    </row>
    <row r="21" spans="1:24" s="24" customFormat="1" ht="15.75">
      <c r="A21" s="31">
        <v>14</v>
      </c>
      <c r="B21" s="22" t="s">
        <v>12</v>
      </c>
      <c r="C21" s="73"/>
      <c r="D21" s="73"/>
      <c r="E21" s="74"/>
      <c r="F21" s="23">
        <v>68.03</v>
      </c>
      <c r="G21" s="29">
        <v>53.1</v>
      </c>
      <c r="H21" s="38">
        <f t="shared" si="2"/>
        <v>8923</v>
      </c>
      <c r="I21" s="38">
        <f t="shared" si="0"/>
        <v>8923</v>
      </c>
      <c r="J21" s="38">
        <v>8923</v>
      </c>
      <c r="K21" s="38">
        <v>10959</v>
      </c>
      <c r="L21" s="38">
        <v>4725</v>
      </c>
      <c r="M21" s="38">
        <f t="shared" si="3"/>
        <v>13648</v>
      </c>
      <c r="N21" s="75">
        <v>82</v>
      </c>
      <c r="O21" s="75">
        <v>4</v>
      </c>
      <c r="P21" s="75"/>
      <c r="Q21" s="36">
        <v>77.41</v>
      </c>
      <c r="R21" s="29">
        <v>53.1</v>
      </c>
      <c r="S21" s="38">
        <f t="shared" si="4"/>
        <v>10153</v>
      </c>
      <c r="T21" s="37">
        <f t="shared" si="1"/>
        <v>10153</v>
      </c>
      <c r="U21" s="37">
        <v>10153</v>
      </c>
      <c r="V21" s="38">
        <f t="shared" si="5"/>
        <v>10959</v>
      </c>
      <c r="W21" s="37">
        <v>4725</v>
      </c>
      <c r="X21" s="37">
        <f t="shared" si="6"/>
        <v>14878</v>
      </c>
    </row>
    <row r="22" spans="1:24" s="24" customFormat="1" ht="15.75">
      <c r="A22" s="30">
        <v>15</v>
      </c>
      <c r="B22" s="22" t="s">
        <v>13</v>
      </c>
      <c r="C22" s="73"/>
      <c r="D22" s="73"/>
      <c r="E22" s="74"/>
      <c r="F22" s="23">
        <v>68.03</v>
      </c>
      <c r="G22" s="29">
        <v>53.1</v>
      </c>
      <c r="H22" s="38">
        <f t="shared" si="2"/>
        <v>8923</v>
      </c>
      <c r="I22" s="38">
        <f t="shared" si="0"/>
        <v>8923</v>
      </c>
      <c r="J22" s="38">
        <v>8923</v>
      </c>
      <c r="K22" s="38">
        <v>17611</v>
      </c>
      <c r="L22" s="38">
        <v>4725</v>
      </c>
      <c r="M22" s="38">
        <f t="shared" si="3"/>
        <v>13648</v>
      </c>
      <c r="N22" s="75">
        <v>45</v>
      </c>
      <c r="O22" s="75"/>
      <c r="P22" s="75"/>
      <c r="Q22" s="36">
        <v>77.41</v>
      </c>
      <c r="R22" s="29">
        <v>53.1</v>
      </c>
      <c r="S22" s="38">
        <f t="shared" si="4"/>
        <v>10153</v>
      </c>
      <c r="T22" s="37">
        <f t="shared" si="1"/>
        <v>10153</v>
      </c>
      <c r="U22" s="37">
        <v>10153</v>
      </c>
      <c r="V22" s="38">
        <f t="shared" si="5"/>
        <v>17611</v>
      </c>
      <c r="W22" s="37">
        <v>4725</v>
      </c>
      <c r="X22" s="37">
        <f t="shared" si="6"/>
        <v>14878</v>
      </c>
    </row>
    <row r="23" spans="1:24" s="24" customFormat="1" ht="15.75">
      <c r="A23" s="31">
        <v>16</v>
      </c>
      <c r="B23" s="22" t="s">
        <v>14</v>
      </c>
      <c r="C23" s="73"/>
      <c r="D23" s="73"/>
      <c r="E23" s="74"/>
      <c r="F23" s="23">
        <v>68.03</v>
      </c>
      <c r="G23" s="29">
        <v>53.1</v>
      </c>
      <c r="H23" s="38">
        <f t="shared" si="2"/>
        <v>8923</v>
      </c>
      <c r="I23" s="38">
        <f t="shared" si="0"/>
        <v>8923</v>
      </c>
      <c r="J23" s="38">
        <v>8923</v>
      </c>
      <c r="K23" s="38">
        <v>15417</v>
      </c>
      <c r="L23" s="38">
        <v>4725</v>
      </c>
      <c r="M23" s="38">
        <f t="shared" si="3"/>
        <v>13648</v>
      </c>
      <c r="N23" s="75">
        <v>50</v>
      </c>
      <c r="O23" s="75"/>
      <c r="P23" s="75"/>
      <c r="Q23" s="36">
        <v>77.41</v>
      </c>
      <c r="R23" s="29">
        <v>53.1</v>
      </c>
      <c r="S23" s="38">
        <f t="shared" si="4"/>
        <v>10153</v>
      </c>
      <c r="T23" s="37">
        <f t="shared" si="1"/>
        <v>10153</v>
      </c>
      <c r="U23" s="37">
        <v>10153</v>
      </c>
      <c r="V23" s="38">
        <f t="shared" si="5"/>
        <v>15417</v>
      </c>
      <c r="W23" s="37">
        <v>4725</v>
      </c>
      <c r="X23" s="37">
        <f t="shared" si="6"/>
        <v>14878</v>
      </c>
    </row>
    <row r="24" spans="1:24" s="26" customFormat="1" ht="16.5" customHeight="1">
      <c r="A24" s="32">
        <v>17</v>
      </c>
      <c r="B24" s="25" t="s">
        <v>15</v>
      </c>
      <c r="C24" s="82"/>
      <c r="D24" s="82"/>
      <c r="E24" s="83"/>
      <c r="F24" s="23">
        <v>68.03</v>
      </c>
      <c r="G24" s="29">
        <v>53.1</v>
      </c>
      <c r="H24" s="38">
        <f t="shared" si="2"/>
        <v>8923</v>
      </c>
      <c r="I24" s="38">
        <f t="shared" si="0"/>
        <v>8923</v>
      </c>
      <c r="J24" s="38">
        <v>8923</v>
      </c>
      <c r="K24" s="38">
        <v>13556</v>
      </c>
      <c r="L24" s="38">
        <v>4725</v>
      </c>
      <c r="M24" s="38">
        <f t="shared" si="3"/>
        <v>13648</v>
      </c>
      <c r="N24" s="75">
        <v>63</v>
      </c>
      <c r="O24" s="75"/>
      <c r="P24" s="75">
        <v>1</v>
      </c>
      <c r="Q24" s="36">
        <v>77.41</v>
      </c>
      <c r="R24" s="29">
        <v>53.1</v>
      </c>
      <c r="S24" s="38">
        <f t="shared" si="4"/>
        <v>10153</v>
      </c>
      <c r="T24" s="37">
        <f t="shared" si="1"/>
        <v>10153</v>
      </c>
      <c r="U24" s="37">
        <v>10153</v>
      </c>
      <c r="V24" s="38">
        <f t="shared" si="5"/>
        <v>13556</v>
      </c>
      <c r="W24" s="37">
        <v>4725</v>
      </c>
      <c r="X24" s="37">
        <f t="shared" si="6"/>
        <v>14878</v>
      </c>
    </row>
    <row r="25" spans="1:24" s="24" customFormat="1" ht="19.5" customHeight="1">
      <c r="A25" s="31">
        <v>18</v>
      </c>
      <c r="B25" s="22" t="s">
        <v>26</v>
      </c>
      <c r="C25" s="84"/>
      <c r="D25" s="84"/>
      <c r="E25" s="85"/>
      <c r="F25" s="23">
        <v>68.03</v>
      </c>
      <c r="G25" s="29">
        <v>53.1</v>
      </c>
      <c r="H25" s="38">
        <f t="shared" si="2"/>
        <v>8923</v>
      </c>
      <c r="I25" s="38">
        <f t="shared" si="0"/>
        <v>8923</v>
      </c>
      <c r="J25" s="38">
        <v>8923</v>
      </c>
      <c r="K25" s="38">
        <v>33700</v>
      </c>
      <c r="L25" s="38">
        <v>4725</v>
      </c>
      <c r="M25" s="38">
        <f t="shared" si="3"/>
        <v>13648</v>
      </c>
      <c r="N25" s="75">
        <v>18</v>
      </c>
      <c r="O25" s="75"/>
      <c r="P25" s="75"/>
      <c r="Q25" s="36">
        <v>77.41</v>
      </c>
      <c r="R25" s="29">
        <v>53.1</v>
      </c>
      <c r="S25" s="38">
        <f t="shared" si="4"/>
        <v>10153</v>
      </c>
      <c r="T25" s="37">
        <f t="shared" si="1"/>
        <v>10153</v>
      </c>
      <c r="U25" s="37">
        <v>10153</v>
      </c>
      <c r="V25" s="38">
        <f t="shared" si="5"/>
        <v>33700</v>
      </c>
      <c r="W25" s="37">
        <v>4725</v>
      </c>
      <c r="X25" s="37">
        <f t="shared" si="6"/>
        <v>14878</v>
      </c>
    </row>
    <row r="26" spans="1:24" s="24" customFormat="1" ht="19.5" customHeight="1">
      <c r="A26" s="30">
        <v>19</v>
      </c>
      <c r="B26" s="22" t="s">
        <v>27</v>
      </c>
      <c r="C26" s="84"/>
      <c r="D26" s="84"/>
      <c r="E26" s="85"/>
      <c r="F26" s="23">
        <v>68.03</v>
      </c>
      <c r="G26" s="29">
        <v>53.1</v>
      </c>
      <c r="H26" s="38">
        <f t="shared" si="2"/>
        <v>8923</v>
      </c>
      <c r="I26" s="38">
        <f t="shared" si="0"/>
        <v>8923</v>
      </c>
      <c r="J26" s="38">
        <v>8923</v>
      </c>
      <c r="K26" s="38">
        <v>79256</v>
      </c>
      <c r="L26" s="38">
        <v>4725</v>
      </c>
      <c r="M26" s="38">
        <f t="shared" si="3"/>
        <v>13648</v>
      </c>
      <c r="N26" s="75">
        <v>8</v>
      </c>
      <c r="O26" s="75"/>
      <c r="P26" s="75"/>
      <c r="Q26" s="36">
        <v>77.41</v>
      </c>
      <c r="R26" s="29">
        <v>53.1</v>
      </c>
      <c r="S26" s="38">
        <f t="shared" si="4"/>
        <v>10153</v>
      </c>
      <c r="T26" s="37">
        <f t="shared" si="1"/>
        <v>10153</v>
      </c>
      <c r="U26" s="37">
        <v>10153</v>
      </c>
      <c r="V26" s="38">
        <f t="shared" si="5"/>
        <v>79256</v>
      </c>
      <c r="W26" s="37">
        <v>4725</v>
      </c>
      <c r="X26" s="37">
        <f t="shared" si="6"/>
        <v>14878</v>
      </c>
    </row>
    <row r="27" spans="1:24" s="24" customFormat="1" ht="18" customHeight="1">
      <c r="A27" s="31">
        <v>20</v>
      </c>
      <c r="B27" s="22" t="s">
        <v>28</v>
      </c>
      <c r="C27" s="84"/>
      <c r="D27" s="84"/>
      <c r="E27" s="85"/>
      <c r="F27" s="23">
        <v>68.03</v>
      </c>
      <c r="G27" s="29">
        <v>53.1</v>
      </c>
      <c r="H27" s="38">
        <f t="shared" si="2"/>
        <v>8923</v>
      </c>
      <c r="I27" s="38">
        <f t="shared" si="0"/>
        <v>8923</v>
      </c>
      <c r="J27" s="38">
        <v>8923</v>
      </c>
      <c r="K27" s="38">
        <v>52213</v>
      </c>
      <c r="L27" s="38">
        <v>4725</v>
      </c>
      <c r="M27" s="38">
        <f t="shared" si="3"/>
        <v>13648</v>
      </c>
      <c r="N27" s="75">
        <v>12</v>
      </c>
      <c r="O27" s="75"/>
      <c r="P27" s="75"/>
      <c r="Q27" s="36">
        <v>77.41</v>
      </c>
      <c r="R27" s="29">
        <v>53.1</v>
      </c>
      <c r="S27" s="38">
        <f t="shared" si="4"/>
        <v>10153</v>
      </c>
      <c r="T27" s="37">
        <f t="shared" si="1"/>
        <v>10153</v>
      </c>
      <c r="U27" s="37">
        <v>10153</v>
      </c>
      <c r="V27" s="38">
        <f t="shared" si="5"/>
        <v>52213</v>
      </c>
      <c r="W27" s="37">
        <v>4725</v>
      </c>
      <c r="X27" s="37">
        <f t="shared" si="6"/>
        <v>14878</v>
      </c>
    </row>
    <row r="28" spans="1:24" s="24" customFormat="1" ht="18.75" customHeight="1">
      <c r="A28" s="30">
        <v>21</v>
      </c>
      <c r="B28" s="22" t="s">
        <v>29</v>
      </c>
      <c r="C28" s="84"/>
      <c r="D28" s="84"/>
      <c r="E28" s="85"/>
      <c r="F28" s="23">
        <v>68.03</v>
      </c>
      <c r="G28" s="29">
        <v>53.1</v>
      </c>
      <c r="H28" s="38">
        <f t="shared" si="2"/>
        <v>8923</v>
      </c>
      <c r="I28" s="38">
        <f t="shared" si="0"/>
        <v>8923</v>
      </c>
      <c r="J28" s="38">
        <v>8923</v>
      </c>
      <c r="K28" s="38">
        <v>22952</v>
      </c>
      <c r="L28" s="38">
        <v>4725</v>
      </c>
      <c r="M28" s="38">
        <f t="shared" si="3"/>
        <v>13648</v>
      </c>
      <c r="N28" s="75">
        <v>26</v>
      </c>
      <c r="O28" s="75"/>
      <c r="P28" s="75">
        <v>1</v>
      </c>
      <c r="Q28" s="36">
        <v>77.41</v>
      </c>
      <c r="R28" s="29">
        <v>53.1</v>
      </c>
      <c r="S28" s="38">
        <f t="shared" si="4"/>
        <v>10153</v>
      </c>
      <c r="T28" s="37">
        <f t="shared" si="1"/>
        <v>10153</v>
      </c>
      <c r="U28" s="37">
        <v>10153</v>
      </c>
      <c r="V28" s="38">
        <f t="shared" si="5"/>
        <v>22952</v>
      </c>
      <c r="W28" s="37">
        <v>4725</v>
      </c>
      <c r="X28" s="37">
        <f t="shared" si="6"/>
        <v>14878</v>
      </c>
    </row>
    <row r="29" spans="1:24" s="24" customFormat="1" ht="20.25" customHeight="1">
      <c r="A29" s="31">
        <v>22</v>
      </c>
      <c r="B29" s="22" t="s">
        <v>16</v>
      </c>
      <c r="C29" s="70"/>
      <c r="D29" s="70"/>
      <c r="E29" s="71"/>
      <c r="F29" s="23">
        <v>68.03</v>
      </c>
      <c r="G29" s="29">
        <v>53.1</v>
      </c>
      <c r="H29" s="38">
        <f t="shared" si="2"/>
        <v>8923</v>
      </c>
      <c r="I29" s="38">
        <f t="shared" si="0"/>
        <v>8923</v>
      </c>
      <c r="J29" s="38">
        <v>8923</v>
      </c>
      <c r="K29" s="38">
        <v>10926</v>
      </c>
      <c r="L29" s="38">
        <v>4725</v>
      </c>
      <c r="M29" s="38">
        <f t="shared" si="3"/>
        <v>13648</v>
      </c>
      <c r="N29" s="72">
        <v>92</v>
      </c>
      <c r="O29" s="72">
        <v>3</v>
      </c>
      <c r="P29" s="72"/>
      <c r="Q29" s="36">
        <v>77.41</v>
      </c>
      <c r="R29" s="29">
        <v>53.1</v>
      </c>
      <c r="S29" s="38">
        <f t="shared" si="4"/>
        <v>10153</v>
      </c>
      <c r="T29" s="37">
        <f t="shared" si="1"/>
        <v>10153</v>
      </c>
      <c r="U29" s="37">
        <v>10153</v>
      </c>
      <c r="V29" s="38">
        <f t="shared" si="5"/>
        <v>10926</v>
      </c>
      <c r="W29" s="37">
        <v>4725</v>
      </c>
      <c r="X29" s="37">
        <f t="shared" si="6"/>
        <v>14878</v>
      </c>
    </row>
    <row r="30" spans="1:24" s="24" customFormat="1" ht="15.75">
      <c r="A30" s="30">
        <v>23</v>
      </c>
      <c r="B30" s="22" t="s">
        <v>17</v>
      </c>
      <c r="C30" s="73"/>
      <c r="D30" s="73"/>
      <c r="E30" s="74"/>
      <c r="F30" s="23">
        <v>68.03</v>
      </c>
      <c r="G30" s="29">
        <v>53.1</v>
      </c>
      <c r="H30" s="38">
        <f t="shared" si="2"/>
        <v>8923</v>
      </c>
      <c r="I30" s="38">
        <f t="shared" si="0"/>
        <v>8923</v>
      </c>
      <c r="J30" s="38">
        <v>8923</v>
      </c>
      <c r="K30" s="38">
        <v>11240</v>
      </c>
      <c r="L30" s="38">
        <v>4725</v>
      </c>
      <c r="M30" s="38">
        <f t="shared" si="3"/>
        <v>13648</v>
      </c>
      <c r="N30" s="75">
        <v>90</v>
      </c>
      <c r="O30" s="75">
        <v>1</v>
      </c>
      <c r="P30" s="75"/>
      <c r="Q30" s="36">
        <v>77.41</v>
      </c>
      <c r="R30" s="29">
        <v>53.1</v>
      </c>
      <c r="S30" s="38">
        <f t="shared" si="4"/>
        <v>10153</v>
      </c>
      <c r="T30" s="37">
        <f t="shared" si="1"/>
        <v>10153</v>
      </c>
      <c r="U30" s="37">
        <v>10153</v>
      </c>
      <c r="V30" s="38">
        <f t="shared" si="5"/>
        <v>11240</v>
      </c>
      <c r="W30" s="37">
        <v>4725</v>
      </c>
      <c r="X30" s="37">
        <f t="shared" si="6"/>
        <v>14878</v>
      </c>
    </row>
    <row r="31" spans="1:24" s="26" customFormat="1" ht="18" customHeight="1">
      <c r="A31" s="31">
        <v>24</v>
      </c>
      <c r="B31" s="25" t="s">
        <v>18</v>
      </c>
      <c r="C31" s="84">
        <v>21</v>
      </c>
      <c r="D31" s="73"/>
      <c r="E31" s="74"/>
      <c r="F31" s="23">
        <v>68.03</v>
      </c>
      <c r="G31" s="29">
        <v>53.1</v>
      </c>
      <c r="H31" s="38">
        <f t="shared" si="2"/>
        <v>8923</v>
      </c>
      <c r="I31" s="38">
        <f t="shared" si="0"/>
        <v>8923</v>
      </c>
      <c r="J31" s="38">
        <v>8923</v>
      </c>
      <c r="K31" s="38">
        <v>10289</v>
      </c>
      <c r="L31" s="38">
        <v>4725</v>
      </c>
      <c r="M31" s="38">
        <f t="shared" si="3"/>
        <v>13648</v>
      </c>
      <c r="N31" s="75">
        <v>93</v>
      </c>
      <c r="O31" s="75">
        <v>2</v>
      </c>
      <c r="P31" s="75">
        <v>1</v>
      </c>
      <c r="Q31" s="36">
        <v>77.41</v>
      </c>
      <c r="R31" s="29">
        <v>53.1</v>
      </c>
      <c r="S31" s="38">
        <f t="shared" si="4"/>
        <v>10153</v>
      </c>
      <c r="T31" s="37">
        <f t="shared" si="1"/>
        <v>10153</v>
      </c>
      <c r="U31" s="37">
        <v>10153</v>
      </c>
      <c r="V31" s="38">
        <f t="shared" si="5"/>
        <v>10289</v>
      </c>
      <c r="W31" s="37">
        <v>4725</v>
      </c>
      <c r="X31" s="37">
        <f t="shared" si="6"/>
        <v>14878</v>
      </c>
    </row>
    <row r="32" spans="1:24" s="24" customFormat="1" ht="15.75">
      <c r="A32" s="30">
        <v>25</v>
      </c>
      <c r="B32" s="22" t="s">
        <v>19</v>
      </c>
      <c r="C32" s="73">
        <v>18</v>
      </c>
      <c r="D32" s="73"/>
      <c r="E32" s="74"/>
      <c r="F32" s="23">
        <v>68.03</v>
      </c>
      <c r="G32" s="29">
        <v>53.1</v>
      </c>
      <c r="H32" s="38">
        <f t="shared" si="2"/>
        <v>8923</v>
      </c>
      <c r="I32" s="38">
        <f t="shared" si="0"/>
        <v>8923</v>
      </c>
      <c r="J32" s="38">
        <v>8923</v>
      </c>
      <c r="K32" s="38">
        <v>8725</v>
      </c>
      <c r="L32" s="38">
        <v>4725</v>
      </c>
      <c r="M32" s="38">
        <f t="shared" si="3"/>
        <v>13648</v>
      </c>
      <c r="N32" s="75">
        <v>118</v>
      </c>
      <c r="O32" s="75">
        <v>1</v>
      </c>
      <c r="P32" s="75"/>
      <c r="Q32" s="36">
        <v>77.41</v>
      </c>
      <c r="R32" s="29">
        <v>53.1</v>
      </c>
      <c r="S32" s="38">
        <f t="shared" si="4"/>
        <v>10153</v>
      </c>
      <c r="T32" s="37">
        <f t="shared" si="1"/>
        <v>10153</v>
      </c>
      <c r="U32" s="37">
        <v>10153</v>
      </c>
      <c r="V32" s="38">
        <f t="shared" si="5"/>
        <v>8725</v>
      </c>
      <c r="W32" s="37">
        <v>4725</v>
      </c>
      <c r="X32" s="37">
        <f t="shared" si="6"/>
        <v>14878</v>
      </c>
    </row>
    <row r="33" spans="1:24" s="24" customFormat="1" ht="15.75">
      <c r="A33" s="31">
        <v>26</v>
      </c>
      <c r="B33" s="22" t="s">
        <v>20</v>
      </c>
      <c r="C33" s="86">
        <v>24</v>
      </c>
      <c r="D33" s="86"/>
      <c r="E33" s="87"/>
      <c r="F33" s="23">
        <v>68.03</v>
      </c>
      <c r="G33" s="29">
        <v>53.1</v>
      </c>
      <c r="H33" s="38">
        <f t="shared" si="2"/>
        <v>8923</v>
      </c>
      <c r="I33" s="38">
        <f t="shared" si="0"/>
        <v>8923</v>
      </c>
      <c r="J33" s="38">
        <v>8923</v>
      </c>
      <c r="K33" s="38">
        <v>10106</v>
      </c>
      <c r="L33" s="38">
        <v>4725</v>
      </c>
      <c r="M33" s="38">
        <f t="shared" si="3"/>
        <v>13648</v>
      </c>
      <c r="N33" s="88">
        <v>109</v>
      </c>
      <c r="O33" s="88">
        <v>3</v>
      </c>
      <c r="P33" s="88"/>
      <c r="Q33" s="36">
        <v>77.41</v>
      </c>
      <c r="R33" s="29">
        <v>53.1</v>
      </c>
      <c r="S33" s="38">
        <f t="shared" si="4"/>
        <v>10153</v>
      </c>
      <c r="T33" s="37">
        <f t="shared" si="1"/>
        <v>10153</v>
      </c>
      <c r="U33" s="37">
        <v>10153</v>
      </c>
      <c r="V33" s="38">
        <f t="shared" si="5"/>
        <v>10106</v>
      </c>
      <c r="W33" s="37">
        <v>4725</v>
      </c>
      <c r="X33" s="37">
        <f t="shared" si="6"/>
        <v>14878</v>
      </c>
    </row>
    <row r="34" spans="1:24" s="24" customFormat="1" ht="15.75">
      <c r="A34" s="30">
        <v>27</v>
      </c>
      <c r="B34" s="22" t="s">
        <v>30</v>
      </c>
      <c r="C34" s="73"/>
      <c r="D34" s="73"/>
      <c r="E34" s="74"/>
      <c r="F34" s="23">
        <v>68.03</v>
      </c>
      <c r="G34" s="29">
        <v>53.1</v>
      </c>
      <c r="H34" s="38">
        <f t="shared" si="2"/>
        <v>8923</v>
      </c>
      <c r="I34" s="38">
        <f t="shared" si="0"/>
        <v>8923</v>
      </c>
      <c r="J34" s="38">
        <v>8923</v>
      </c>
      <c r="K34" s="38">
        <v>30253</v>
      </c>
      <c r="L34" s="38">
        <v>4725</v>
      </c>
      <c r="M34" s="38">
        <f t="shared" si="3"/>
        <v>13648</v>
      </c>
      <c r="N34" s="75">
        <f>15+5</f>
        <v>20</v>
      </c>
      <c r="O34" s="75"/>
      <c r="P34" s="75"/>
      <c r="Q34" s="36">
        <v>77.41</v>
      </c>
      <c r="R34" s="29">
        <v>53.1</v>
      </c>
      <c r="S34" s="38">
        <f t="shared" si="4"/>
        <v>10153</v>
      </c>
      <c r="T34" s="37">
        <f t="shared" si="1"/>
        <v>10153</v>
      </c>
      <c r="U34" s="37">
        <v>10153</v>
      </c>
      <c r="V34" s="38">
        <f t="shared" si="5"/>
        <v>30253</v>
      </c>
      <c r="W34" s="37">
        <v>4725</v>
      </c>
      <c r="X34" s="37">
        <f t="shared" si="6"/>
        <v>14878</v>
      </c>
    </row>
    <row r="35" spans="1:24" s="24" customFormat="1" ht="15.75">
      <c r="A35" s="31">
        <v>28</v>
      </c>
      <c r="B35" s="22" t="s">
        <v>31</v>
      </c>
      <c r="C35" s="73"/>
      <c r="D35" s="73"/>
      <c r="E35" s="74"/>
      <c r="F35" s="23">
        <v>68.03</v>
      </c>
      <c r="G35" s="29">
        <v>53.1</v>
      </c>
      <c r="H35" s="38">
        <f t="shared" si="2"/>
        <v>8923</v>
      </c>
      <c r="I35" s="38">
        <f t="shared" si="0"/>
        <v>8923</v>
      </c>
      <c r="J35" s="38">
        <v>8923</v>
      </c>
      <c r="K35" s="38">
        <v>25764</v>
      </c>
      <c r="L35" s="38">
        <v>4725</v>
      </c>
      <c r="M35" s="38">
        <f t="shared" si="3"/>
        <v>13648</v>
      </c>
      <c r="N35" s="75">
        <v>18</v>
      </c>
      <c r="O35" s="75"/>
      <c r="P35" s="75"/>
      <c r="Q35" s="36">
        <v>77.41</v>
      </c>
      <c r="R35" s="29">
        <v>53.1</v>
      </c>
      <c r="S35" s="38">
        <f t="shared" si="4"/>
        <v>10153</v>
      </c>
      <c r="T35" s="37">
        <f t="shared" si="1"/>
        <v>10153</v>
      </c>
      <c r="U35" s="37">
        <v>10153</v>
      </c>
      <c r="V35" s="38">
        <f t="shared" si="5"/>
        <v>25764</v>
      </c>
      <c r="W35" s="37">
        <v>4725</v>
      </c>
      <c r="X35" s="37">
        <f t="shared" si="6"/>
        <v>14878</v>
      </c>
    </row>
    <row r="36" spans="1:24" s="24" customFormat="1" ht="15.75">
      <c r="A36" s="30">
        <v>29</v>
      </c>
      <c r="B36" s="22" t="s">
        <v>21</v>
      </c>
      <c r="C36" s="73"/>
      <c r="D36" s="73"/>
      <c r="E36" s="74"/>
      <c r="F36" s="23">
        <v>68.03</v>
      </c>
      <c r="G36" s="29">
        <v>53.1</v>
      </c>
      <c r="H36" s="38">
        <f t="shared" si="2"/>
        <v>8923</v>
      </c>
      <c r="I36" s="38">
        <f t="shared" si="0"/>
        <v>8923</v>
      </c>
      <c r="J36" s="38">
        <v>8923</v>
      </c>
      <c r="K36" s="38">
        <v>9639</v>
      </c>
      <c r="L36" s="38">
        <v>4725</v>
      </c>
      <c r="M36" s="38">
        <f t="shared" si="3"/>
        <v>13648</v>
      </c>
      <c r="N36" s="75">
        <v>62</v>
      </c>
      <c r="O36" s="75"/>
      <c r="P36" s="75"/>
      <c r="Q36" s="36">
        <v>77.41</v>
      </c>
      <c r="R36" s="29">
        <v>53.1</v>
      </c>
      <c r="S36" s="38">
        <f t="shared" si="4"/>
        <v>10153</v>
      </c>
      <c r="T36" s="37">
        <f t="shared" si="1"/>
        <v>10153</v>
      </c>
      <c r="U36" s="37">
        <v>10153</v>
      </c>
      <c r="V36" s="38">
        <f t="shared" si="5"/>
        <v>9639</v>
      </c>
      <c r="W36" s="37">
        <v>4725</v>
      </c>
      <c r="X36" s="37">
        <f t="shared" si="6"/>
        <v>14878</v>
      </c>
    </row>
    <row r="37" spans="1:24" s="24" customFormat="1" ht="15.75">
      <c r="A37" s="31">
        <v>30</v>
      </c>
      <c r="B37" s="22" t="s">
        <v>32</v>
      </c>
      <c r="C37" s="77"/>
      <c r="D37" s="77"/>
      <c r="E37" s="78"/>
      <c r="F37" s="23">
        <v>68.03</v>
      </c>
      <c r="G37" s="29">
        <v>53.1</v>
      </c>
      <c r="H37" s="38">
        <f t="shared" si="2"/>
        <v>8923</v>
      </c>
      <c r="I37" s="38">
        <f t="shared" si="0"/>
        <v>8923</v>
      </c>
      <c r="J37" s="38">
        <v>8923</v>
      </c>
      <c r="K37" s="38">
        <v>56683</v>
      </c>
      <c r="L37" s="38">
        <v>4725</v>
      </c>
      <c r="M37" s="38">
        <f t="shared" si="3"/>
        <v>13648</v>
      </c>
      <c r="N37" s="75">
        <v>12</v>
      </c>
      <c r="O37" s="75"/>
      <c r="P37" s="75"/>
      <c r="Q37" s="36">
        <v>77.41</v>
      </c>
      <c r="R37" s="29">
        <v>53.1</v>
      </c>
      <c r="S37" s="38">
        <f t="shared" si="4"/>
        <v>10153</v>
      </c>
      <c r="T37" s="37">
        <f t="shared" si="1"/>
        <v>10153</v>
      </c>
      <c r="U37" s="37">
        <v>10153</v>
      </c>
      <c r="V37" s="38">
        <f t="shared" si="5"/>
        <v>56683</v>
      </c>
      <c r="W37" s="37">
        <v>4725</v>
      </c>
      <c r="X37" s="37">
        <f t="shared" si="6"/>
        <v>14878</v>
      </c>
    </row>
    <row r="38" spans="1:24" s="24" customFormat="1" ht="17.25" customHeight="1">
      <c r="A38" s="30">
        <v>31</v>
      </c>
      <c r="B38" s="22" t="s">
        <v>33</v>
      </c>
      <c r="C38" s="77"/>
      <c r="D38" s="77"/>
      <c r="E38" s="78"/>
      <c r="F38" s="23">
        <v>68.03</v>
      </c>
      <c r="G38" s="29">
        <v>53.1</v>
      </c>
      <c r="H38" s="38">
        <f t="shared" si="2"/>
        <v>8923</v>
      </c>
      <c r="I38" s="38">
        <f t="shared" si="0"/>
        <v>8923</v>
      </c>
      <c r="J38" s="38">
        <v>8923</v>
      </c>
      <c r="K38" s="38">
        <v>22139</v>
      </c>
      <c r="L38" s="38">
        <v>4725</v>
      </c>
      <c r="M38" s="38">
        <f t="shared" si="3"/>
        <v>13648</v>
      </c>
      <c r="N38" s="75">
        <v>28</v>
      </c>
      <c r="O38" s="75">
        <v>3</v>
      </c>
      <c r="P38" s="75"/>
      <c r="Q38" s="36">
        <v>77.41</v>
      </c>
      <c r="R38" s="29">
        <v>53.1</v>
      </c>
      <c r="S38" s="38">
        <f t="shared" si="4"/>
        <v>10153</v>
      </c>
      <c r="T38" s="37">
        <f t="shared" si="1"/>
        <v>10153</v>
      </c>
      <c r="U38" s="37">
        <v>10153</v>
      </c>
      <c r="V38" s="38">
        <f t="shared" si="5"/>
        <v>22139</v>
      </c>
      <c r="W38" s="37">
        <v>4725</v>
      </c>
      <c r="X38" s="37">
        <f t="shared" si="6"/>
        <v>14878</v>
      </c>
    </row>
    <row r="39" spans="1:24" s="24" customFormat="1" ht="15.75">
      <c r="A39" s="31">
        <v>32</v>
      </c>
      <c r="B39" s="22" t="s">
        <v>34</v>
      </c>
      <c r="C39" s="73"/>
      <c r="D39" s="73"/>
      <c r="E39" s="74"/>
      <c r="F39" s="23">
        <v>68.03</v>
      </c>
      <c r="G39" s="29">
        <v>53.1</v>
      </c>
      <c r="H39" s="38">
        <f t="shared" si="2"/>
        <v>8923</v>
      </c>
      <c r="I39" s="38">
        <f t="shared" si="0"/>
        <v>8923</v>
      </c>
      <c r="J39" s="38">
        <v>8923</v>
      </c>
      <c r="K39" s="38">
        <v>4725</v>
      </c>
      <c r="L39" s="38">
        <v>4725</v>
      </c>
      <c r="M39" s="38">
        <f t="shared" si="3"/>
        <v>13648</v>
      </c>
      <c r="N39" s="75">
        <v>26</v>
      </c>
      <c r="O39" s="75"/>
      <c r="P39" s="75"/>
      <c r="Q39" s="36">
        <v>77.41</v>
      </c>
      <c r="R39" s="29">
        <v>53.1</v>
      </c>
      <c r="S39" s="38">
        <f t="shared" si="4"/>
        <v>10153</v>
      </c>
      <c r="T39" s="37">
        <f t="shared" si="1"/>
        <v>10153</v>
      </c>
      <c r="U39" s="37">
        <v>10153</v>
      </c>
      <c r="V39" s="38">
        <f t="shared" si="5"/>
        <v>4725</v>
      </c>
      <c r="W39" s="37">
        <v>4725</v>
      </c>
      <c r="X39" s="37">
        <f t="shared" si="6"/>
        <v>14878</v>
      </c>
    </row>
    <row r="40" spans="1:24" s="24" customFormat="1" ht="15.75">
      <c r="A40" s="30">
        <v>33</v>
      </c>
      <c r="B40" s="22" t="s">
        <v>35</v>
      </c>
      <c r="C40" s="73"/>
      <c r="D40" s="73"/>
      <c r="E40" s="74"/>
      <c r="F40" s="23">
        <v>68.03</v>
      </c>
      <c r="G40" s="29">
        <v>53.1</v>
      </c>
      <c r="H40" s="38">
        <f t="shared" si="2"/>
        <v>8923</v>
      </c>
      <c r="I40" s="38">
        <f t="shared" si="0"/>
        <v>8923</v>
      </c>
      <c r="J40" s="38">
        <v>8923</v>
      </c>
      <c r="K40" s="38">
        <v>30281</v>
      </c>
      <c r="L40" s="38">
        <v>4725</v>
      </c>
      <c r="M40" s="38">
        <f t="shared" si="3"/>
        <v>13648</v>
      </c>
      <c r="N40" s="75">
        <v>32</v>
      </c>
      <c r="O40" s="75"/>
      <c r="P40" s="75">
        <v>2</v>
      </c>
      <c r="Q40" s="36">
        <v>77.41</v>
      </c>
      <c r="R40" s="29">
        <v>53.1</v>
      </c>
      <c r="S40" s="38">
        <f t="shared" si="4"/>
        <v>10153</v>
      </c>
      <c r="T40" s="37">
        <f t="shared" si="1"/>
        <v>10153</v>
      </c>
      <c r="U40" s="37">
        <v>10153</v>
      </c>
      <c r="V40" s="38">
        <f t="shared" si="5"/>
        <v>30281</v>
      </c>
      <c r="W40" s="37">
        <v>4725</v>
      </c>
      <c r="X40" s="37">
        <f t="shared" si="6"/>
        <v>14878</v>
      </c>
    </row>
    <row r="41" spans="1:24" s="26" customFormat="1" ht="16.5" customHeight="1">
      <c r="A41" s="33">
        <v>34</v>
      </c>
      <c r="B41" s="25" t="s">
        <v>36</v>
      </c>
      <c r="C41" s="84"/>
      <c r="D41" s="73"/>
      <c r="E41" s="74"/>
      <c r="F41" s="23">
        <v>68.03</v>
      </c>
      <c r="G41" s="29">
        <v>53.1</v>
      </c>
      <c r="H41" s="38">
        <f t="shared" si="2"/>
        <v>8923</v>
      </c>
      <c r="I41" s="38">
        <f t="shared" si="0"/>
        <v>8923</v>
      </c>
      <c r="J41" s="38">
        <v>8923</v>
      </c>
      <c r="K41" s="38">
        <v>16839</v>
      </c>
      <c r="L41" s="38">
        <v>4725</v>
      </c>
      <c r="M41" s="38">
        <f t="shared" si="3"/>
        <v>13648</v>
      </c>
      <c r="N41" s="75">
        <v>22</v>
      </c>
      <c r="O41" s="75"/>
      <c r="P41" s="75"/>
      <c r="Q41" s="36">
        <v>77.41</v>
      </c>
      <c r="R41" s="29">
        <v>53.1</v>
      </c>
      <c r="S41" s="38">
        <f t="shared" si="4"/>
        <v>10153</v>
      </c>
      <c r="T41" s="37">
        <f t="shared" si="1"/>
        <v>10153</v>
      </c>
      <c r="U41" s="37">
        <v>10153</v>
      </c>
      <c r="V41" s="38">
        <f t="shared" si="5"/>
        <v>16839</v>
      </c>
      <c r="W41" s="37">
        <v>4725</v>
      </c>
      <c r="X41" s="37">
        <f t="shared" si="6"/>
        <v>14878</v>
      </c>
    </row>
    <row r="42" spans="1:24" s="26" customFormat="1" ht="15" customHeight="1">
      <c r="A42" s="32">
        <v>35</v>
      </c>
      <c r="B42" s="25" t="s">
        <v>37</v>
      </c>
      <c r="C42" s="84"/>
      <c r="D42" s="73"/>
      <c r="E42" s="74"/>
      <c r="F42" s="27">
        <v>68.03</v>
      </c>
      <c r="G42" s="29">
        <v>53.1</v>
      </c>
      <c r="H42" s="38">
        <f t="shared" si="2"/>
        <v>8923</v>
      </c>
      <c r="I42" s="38">
        <f t="shared" si="0"/>
        <v>8923</v>
      </c>
      <c r="J42" s="38">
        <v>8923</v>
      </c>
      <c r="K42" s="38">
        <v>20022</v>
      </c>
      <c r="L42" s="38">
        <v>4725</v>
      </c>
      <c r="M42" s="38">
        <f t="shared" si="3"/>
        <v>13648</v>
      </c>
      <c r="N42" s="75">
        <v>34</v>
      </c>
      <c r="O42" s="75"/>
      <c r="P42" s="75"/>
      <c r="Q42" s="36">
        <v>77.41</v>
      </c>
      <c r="R42" s="29">
        <v>53.1</v>
      </c>
      <c r="S42" s="38">
        <f t="shared" si="4"/>
        <v>10153</v>
      </c>
      <c r="T42" s="37">
        <f t="shared" si="1"/>
        <v>10153</v>
      </c>
      <c r="U42" s="37">
        <v>10153</v>
      </c>
      <c r="V42" s="38">
        <f t="shared" si="5"/>
        <v>20022</v>
      </c>
      <c r="W42" s="37">
        <v>4725</v>
      </c>
      <c r="X42" s="37">
        <f t="shared" si="6"/>
        <v>14878</v>
      </c>
    </row>
    <row r="43" spans="1:24" s="24" customFormat="1" ht="15.75" customHeight="1">
      <c r="A43" s="31">
        <v>36</v>
      </c>
      <c r="B43" s="22" t="s">
        <v>38</v>
      </c>
      <c r="C43" s="73"/>
      <c r="D43" s="73"/>
      <c r="E43" s="74"/>
      <c r="F43" s="23">
        <v>68.03</v>
      </c>
      <c r="G43" s="29">
        <v>53.1</v>
      </c>
      <c r="H43" s="38">
        <f t="shared" si="2"/>
        <v>8923</v>
      </c>
      <c r="I43" s="38">
        <f t="shared" si="0"/>
        <v>8923</v>
      </c>
      <c r="J43" s="38">
        <v>8923</v>
      </c>
      <c r="K43" s="38">
        <v>17502</v>
      </c>
      <c r="L43" s="38">
        <v>4725</v>
      </c>
      <c r="M43" s="38">
        <f t="shared" si="3"/>
        <v>13648</v>
      </c>
      <c r="N43" s="75">
        <v>63</v>
      </c>
      <c r="O43" s="75"/>
      <c r="P43" s="75"/>
      <c r="Q43" s="36">
        <v>77.41</v>
      </c>
      <c r="R43" s="29">
        <v>53.1</v>
      </c>
      <c r="S43" s="38">
        <f t="shared" si="4"/>
        <v>10153</v>
      </c>
      <c r="T43" s="37">
        <f t="shared" si="1"/>
        <v>10153</v>
      </c>
      <c r="U43" s="37">
        <v>10153</v>
      </c>
      <c r="V43" s="38">
        <f t="shared" si="5"/>
        <v>17502</v>
      </c>
      <c r="W43" s="37">
        <v>4725</v>
      </c>
      <c r="X43" s="37">
        <f t="shared" si="6"/>
        <v>14878</v>
      </c>
    </row>
    <row r="44" spans="1:24" s="24" customFormat="1" ht="15.75">
      <c r="A44" s="30">
        <v>37</v>
      </c>
      <c r="B44" s="22" t="s">
        <v>39</v>
      </c>
      <c r="C44" s="73"/>
      <c r="D44" s="73"/>
      <c r="E44" s="74"/>
      <c r="F44" s="23">
        <v>68.03</v>
      </c>
      <c r="G44" s="29">
        <v>53.1</v>
      </c>
      <c r="H44" s="38">
        <f t="shared" si="2"/>
        <v>8923</v>
      </c>
      <c r="I44" s="38">
        <f t="shared" si="0"/>
        <v>8923</v>
      </c>
      <c r="J44" s="38">
        <v>8923</v>
      </c>
      <c r="K44" s="50">
        <v>57429</v>
      </c>
      <c r="L44" s="38">
        <v>4725</v>
      </c>
      <c r="M44" s="50">
        <f t="shared" si="3"/>
        <v>13648</v>
      </c>
      <c r="N44" s="75">
        <v>12</v>
      </c>
      <c r="O44" s="75"/>
      <c r="P44" s="75"/>
      <c r="Q44" s="36">
        <v>77.41</v>
      </c>
      <c r="R44" s="29">
        <v>53.1</v>
      </c>
      <c r="S44" s="38">
        <f t="shared" si="4"/>
        <v>10153</v>
      </c>
      <c r="T44" s="37">
        <f t="shared" si="1"/>
        <v>10153</v>
      </c>
      <c r="U44" s="37">
        <v>10153</v>
      </c>
      <c r="V44" s="38">
        <f t="shared" si="5"/>
        <v>57429</v>
      </c>
      <c r="W44" s="37">
        <v>4725</v>
      </c>
      <c r="X44" s="37">
        <f t="shared" si="6"/>
        <v>14878</v>
      </c>
    </row>
    <row r="45" spans="1:24" s="24" customFormat="1" ht="15.75">
      <c r="A45" s="31">
        <v>38</v>
      </c>
      <c r="B45" s="22" t="s">
        <v>22</v>
      </c>
      <c r="C45" s="89"/>
      <c r="D45" s="89"/>
      <c r="E45" s="89"/>
      <c r="F45" s="23">
        <v>68.03</v>
      </c>
      <c r="G45" s="29">
        <v>53.1</v>
      </c>
      <c r="H45" s="38">
        <f t="shared" si="2"/>
        <v>8923</v>
      </c>
      <c r="I45" s="38">
        <f t="shared" si="0"/>
        <v>8923</v>
      </c>
      <c r="J45" s="38">
        <v>8923</v>
      </c>
      <c r="K45" s="50">
        <v>16854</v>
      </c>
      <c r="L45" s="38">
        <v>4725</v>
      </c>
      <c r="M45" s="50">
        <f t="shared" si="3"/>
        <v>13648</v>
      </c>
      <c r="N45" s="89">
        <v>40</v>
      </c>
      <c r="O45" s="89"/>
      <c r="P45" s="89"/>
      <c r="Q45" s="36">
        <v>77.41</v>
      </c>
      <c r="R45" s="29">
        <v>53.1</v>
      </c>
      <c r="S45" s="38">
        <f t="shared" si="4"/>
        <v>10153</v>
      </c>
      <c r="T45" s="37">
        <f t="shared" si="1"/>
        <v>10153</v>
      </c>
      <c r="U45" s="37">
        <v>10153</v>
      </c>
      <c r="V45" s="38">
        <f t="shared" si="5"/>
        <v>16854</v>
      </c>
      <c r="W45" s="37">
        <v>4725</v>
      </c>
      <c r="X45" s="37">
        <f t="shared" si="6"/>
        <v>14878</v>
      </c>
    </row>
    <row r="46" spans="1:24" s="24" customFormat="1" ht="15.75">
      <c r="A46" s="30">
        <v>39</v>
      </c>
      <c r="B46" s="22" t="s">
        <v>40</v>
      </c>
      <c r="C46" s="70"/>
      <c r="D46" s="70"/>
      <c r="E46" s="71"/>
      <c r="F46" s="23">
        <v>68.03</v>
      </c>
      <c r="G46" s="29">
        <v>53.1</v>
      </c>
      <c r="H46" s="38">
        <f t="shared" si="2"/>
        <v>8923</v>
      </c>
      <c r="I46" s="38">
        <f t="shared" si="0"/>
        <v>8923</v>
      </c>
      <c r="J46" s="38">
        <v>8923</v>
      </c>
      <c r="K46" s="50">
        <v>31393</v>
      </c>
      <c r="L46" s="38">
        <v>4725</v>
      </c>
      <c r="M46" s="50">
        <f t="shared" si="3"/>
        <v>13648</v>
      </c>
      <c r="N46" s="72">
        <v>22</v>
      </c>
      <c r="O46" s="72"/>
      <c r="P46" s="72"/>
      <c r="Q46" s="36">
        <v>77.41</v>
      </c>
      <c r="R46" s="29">
        <v>53.1</v>
      </c>
      <c r="S46" s="38">
        <f t="shared" si="4"/>
        <v>10153</v>
      </c>
      <c r="T46" s="37">
        <f t="shared" si="1"/>
        <v>10153</v>
      </c>
      <c r="U46" s="37">
        <v>10153</v>
      </c>
      <c r="V46" s="38">
        <f t="shared" si="5"/>
        <v>31393</v>
      </c>
      <c r="W46" s="37">
        <v>4725</v>
      </c>
      <c r="X46" s="37">
        <f t="shared" si="6"/>
        <v>14878</v>
      </c>
    </row>
    <row r="47" spans="1:24" s="24" customFormat="1" ht="15.75">
      <c r="A47" s="31">
        <v>40</v>
      </c>
      <c r="B47" s="22" t="s">
        <v>41</v>
      </c>
      <c r="C47" s="73"/>
      <c r="D47" s="73"/>
      <c r="E47" s="74"/>
      <c r="F47" s="23">
        <v>68.03</v>
      </c>
      <c r="G47" s="29">
        <v>53.1</v>
      </c>
      <c r="H47" s="38">
        <f t="shared" si="2"/>
        <v>8923</v>
      </c>
      <c r="I47" s="38">
        <f t="shared" si="0"/>
        <v>8923</v>
      </c>
      <c r="J47" s="38">
        <v>8923</v>
      </c>
      <c r="K47" s="50">
        <v>75286</v>
      </c>
      <c r="L47" s="38">
        <v>4725</v>
      </c>
      <c r="M47" s="50">
        <f t="shared" si="3"/>
        <v>13648</v>
      </c>
      <c r="N47" s="75">
        <v>7</v>
      </c>
      <c r="O47" s="75"/>
      <c r="P47" s="75"/>
      <c r="Q47" s="36">
        <v>77.41</v>
      </c>
      <c r="R47" s="29">
        <v>53.1</v>
      </c>
      <c r="S47" s="38">
        <f t="shared" si="4"/>
        <v>10153</v>
      </c>
      <c r="T47" s="37">
        <f t="shared" si="1"/>
        <v>10153</v>
      </c>
      <c r="U47" s="37">
        <v>10153</v>
      </c>
      <c r="V47" s="38">
        <f t="shared" si="5"/>
        <v>75286</v>
      </c>
      <c r="W47" s="37">
        <v>4725</v>
      </c>
      <c r="X47" s="37">
        <f t="shared" si="6"/>
        <v>14878</v>
      </c>
    </row>
    <row r="48" spans="1:24" s="24" customFormat="1" ht="15.75">
      <c r="A48" s="30">
        <v>41</v>
      </c>
      <c r="B48" s="22" t="s">
        <v>42</v>
      </c>
      <c r="C48" s="73"/>
      <c r="D48" s="73"/>
      <c r="E48" s="74"/>
      <c r="F48" s="23">
        <v>68.03</v>
      </c>
      <c r="G48" s="29">
        <v>53.1</v>
      </c>
      <c r="H48" s="38">
        <f t="shared" si="2"/>
        <v>8923</v>
      </c>
      <c r="I48" s="38">
        <f t="shared" si="0"/>
        <v>8923</v>
      </c>
      <c r="J48" s="38">
        <v>8923</v>
      </c>
      <c r="K48" s="50">
        <v>35613</v>
      </c>
      <c r="L48" s="38">
        <v>4725</v>
      </c>
      <c r="M48" s="50">
        <f t="shared" si="3"/>
        <v>13648</v>
      </c>
      <c r="N48" s="75">
        <v>15</v>
      </c>
      <c r="O48" s="75"/>
      <c r="P48" s="75"/>
      <c r="Q48" s="36">
        <v>77.41</v>
      </c>
      <c r="R48" s="29">
        <v>53.1</v>
      </c>
      <c r="S48" s="38">
        <f t="shared" si="4"/>
        <v>10153</v>
      </c>
      <c r="T48" s="37">
        <f t="shared" si="1"/>
        <v>10153</v>
      </c>
      <c r="U48" s="37">
        <v>10153</v>
      </c>
      <c r="V48" s="38">
        <f t="shared" si="5"/>
        <v>35613</v>
      </c>
      <c r="W48" s="37">
        <v>4725</v>
      </c>
      <c r="X48" s="37">
        <f t="shared" si="6"/>
        <v>14878</v>
      </c>
    </row>
    <row r="49" spans="1:24" s="24" customFormat="1" ht="15.75">
      <c r="A49" s="31">
        <v>42</v>
      </c>
      <c r="B49" s="22" t="s">
        <v>23</v>
      </c>
      <c r="C49" s="73"/>
      <c r="D49" s="73"/>
      <c r="E49" s="74"/>
      <c r="F49" s="23">
        <v>68.03</v>
      </c>
      <c r="G49" s="29">
        <v>53.1</v>
      </c>
      <c r="H49" s="38">
        <f t="shared" si="2"/>
        <v>8923</v>
      </c>
      <c r="I49" s="38">
        <f t="shared" si="0"/>
        <v>8923</v>
      </c>
      <c r="J49" s="38">
        <v>8923</v>
      </c>
      <c r="K49" s="50">
        <v>27718</v>
      </c>
      <c r="L49" s="38">
        <v>4725</v>
      </c>
      <c r="M49" s="50">
        <f t="shared" si="3"/>
        <v>13648</v>
      </c>
      <c r="N49" s="75">
        <v>17</v>
      </c>
      <c r="O49" s="75"/>
      <c r="P49" s="75"/>
      <c r="Q49" s="36">
        <v>77.41</v>
      </c>
      <c r="R49" s="29">
        <v>53.1</v>
      </c>
      <c r="S49" s="38">
        <f t="shared" si="4"/>
        <v>10153</v>
      </c>
      <c r="T49" s="37">
        <f t="shared" si="1"/>
        <v>10153</v>
      </c>
      <c r="U49" s="37">
        <v>10153</v>
      </c>
      <c r="V49" s="38">
        <f t="shared" si="5"/>
        <v>27718</v>
      </c>
      <c r="W49" s="37">
        <v>4725</v>
      </c>
      <c r="X49" s="37">
        <f t="shared" si="6"/>
        <v>14878</v>
      </c>
    </row>
    <row r="50" spans="1:24" s="24" customFormat="1" ht="15.75">
      <c r="A50" s="30">
        <v>43</v>
      </c>
      <c r="B50" s="22" t="s">
        <v>43</v>
      </c>
      <c r="C50" s="73"/>
      <c r="D50" s="73"/>
      <c r="E50" s="74"/>
      <c r="F50" s="23">
        <v>68.03</v>
      </c>
      <c r="G50" s="29">
        <v>53.1</v>
      </c>
      <c r="H50" s="38">
        <f t="shared" si="2"/>
        <v>8923</v>
      </c>
      <c r="I50" s="38">
        <f t="shared" si="0"/>
        <v>8923</v>
      </c>
      <c r="J50" s="38">
        <v>8923</v>
      </c>
      <c r="K50" s="50">
        <v>21548</v>
      </c>
      <c r="L50" s="38">
        <v>4725</v>
      </c>
      <c r="M50" s="50">
        <f t="shared" si="3"/>
        <v>13648</v>
      </c>
      <c r="N50" s="75">
        <v>21</v>
      </c>
      <c r="O50" s="75"/>
      <c r="P50" s="75"/>
      <c r="Q50" s="36">
        <v>77.41</v>
      </c>
      <c r="R50" s="29">
        <v>53.1</v>
      </c>
      <c r="S50" s="38">
        <f t="shared" si="4"/>
        <v>10153</v>
      </c>
      <c r="T50" s="37">
        <f t="shared" si="1"/>
        <v>10153</v>
      </c>
      <c r="U50" s="37">
        <v>10153</v>
      </c>
      <c r="V50" s="38">
        <f t="shared" si="5"/>
        <v>21548</v>
      </c>
      <c r="W50" s="37">
        <v>4725</v>
      </c>
      <c r="X50" s="37">
        <f t="shared" si="6"/>
        <v>14878</v>
      </c>
    </row>
    <row r="51" spans="1:24" s="24" customFormat="1" ht="34.5" customHeight="1">
      <c r="A51" s="31">
        <v>44</v>
      </c>
      <c r="B51" s="25" t="s">
        <v>44</v>
      </c>
      <c r="C51" s="84"/>
      <c r="D51" s="73"/>
      <c r="E51" s="74"/>
      <c r="F51" s="23">
        <v>68.03</v>
      </c>
      <c r="G51" s="29">
        <v>53.1</v>
      </c>
      <c r="H51" s="38">
        <f t="shared" si="2"/>
        <v>8923</v>
      </c>
      <c r="I51" s="38">
        <f t="shared" si="0"/>
        <v>8923</v>
      </c>
      <c r="J51" s="38">
        <v>8923</v>
      </c>
      <c r="K51" s="50">
        <v>30417</v>
      </c>
      <c r="L51" s="38">
        <v>4725</v>
      </c>
      <c r="M51" s="50">
        <f t="shared" si="3"/>
        <v>13648</v>
      </c>
      <c r="N51" s="89">
        <v>9</v>
      </c>
      <c r="O51" s="75"/>
      <c r="P51" s="75"/>
      <c r="Q51" s="36">
        <v>77.41</v>
      </c>
      <c r="R51" s="29">
        <v>53.1</v>
      </c>
      <c r="S51" s="38">
        <f t="shared" si="4"/>
        <v>10153</v>
      </c>
      <c r="T51" s="37">
        <f t="shared" si="1"/>
        <v>10153</v>
      </c>
      <c r="U51" s="37">
        <v>10153</v>
      </c>
      <c r="V51" s="38">
        <f t="shared" si="5"/>
        <v>30417</v>
      </c>
      <c r="W51" s="37">
        <v>4725</v>
      </c>
      <c r="X51" s="37">
        <f t="shared" si="6"/>
        <v>14878</v>
      </c>
    </row>
    <row r="52" spans="1:24" s="26" customFormat="1" ht="31.5">
      <c r="A52" s="65">
        <v>45</v>
      </c>
      <c r="B52" s="66" t="s">
        <v>45</v>
      </c>
      <c r="C52" s="90"/>
      <c r="D52" s="90"/>
      <c r="E52" s="91"/>
      <c r="F52" s="67">
        <v>68.03</v>
      </c>
      <c r="G52" s="68">
        <v>53.1</v>
      </c>
      <c r="H52" s="69">
        <f t="shared" si="2"/>
        <v>8923</v>
      </c>
      <c r="I52" s="69">
        <f t="shared" si="0"/>
        <v>8923</v>
      </c>
      <c r="J52" s="69">
        <v>8923</v>
      </c>
      <c r="K52" s="92">
        <v>22765</v>
      </c>
      <c r="L52" s="69">
        <v>4725</v>
      </c>
      <c r="M52" s="92">
        <f t="shared" si="3"/>
        <v>13648</v>
      </c>
      <c r="N52" s="93">
        <v>17</v>
      </c>
      <c r="O52" s="94"/>
      <c r="P52" s="94"/>
      <c r="Q52" s="95">
        <v>77.41</v>
      </c>
      <c r="R52" s="68">
        <v>53.1</v>
      </c>
      <c r="S52" s="69">
        <f t="shared" si="4"/>
        <v>10153</v>
      </c>
      <c r="T52" s="96">
        <f t="shared" si="1"/>
        <v>10153</v>
      </c>
      <c r="U52" s="96">
        <v>10153</v>
      </c>
      <c r="V52" s="69">
        <f t="shared" si="5"/>
        <v>22765</v>
      </c>
      <c r="W52" s="96">
        <v>4725</v>
      </c>
      <c r="X52" s="96">
        <f t="shared" si="6"/>
        <v>14878</v>
      </c>
    </row>
    <row r="53" spans="1:24" s="41" customFormat="1" ht="59.25" customHeight="1">
      <c r="A53" s="131"/>
      <c r="B53" s="132" t="s">
        <v>73</v>
      </c>
      <c r="C53" s="133">
        <f>SUM(C8:C52)</f>
        <v>402</v>
      </c>
      <c r="D53" s="133">
        <f>SUM(D8:D52)</f>
        <v>3</v>
      </c>
      <c r="E53" s="133">
        <f>SUM(E8:E52)</f>
        <v>0</v>
      </c>
      <c r="F53" s="134"/>
      <c r="G53" s="135"/>
      <c r="H53" s="136"/>
      <c r="I53" s="92"/>
      <c r="J53" s="92"/>
      <c r="K53" s="137"/>
      <c r="L53" s="92"/>
      <c r="M53" s="133"/>
      <c r="N53" s="133">
        <f>SUM(N8:N52)</f>
        <v>3090</v>
      </c>
      <c r="O53" s="133">
        <f>SUM(O8:O52)</f>
        <v>31</v>
      </c>
      <c r="P53" s="133">
        <f>SUM(P8:P52)</f>
        <v>22</v>
      </c>
      <c r="Q53" s="136"/>
      <c r="R53" s="138"/>
      <c r="S53" s="139"/>
      <c r="T53" s="96"/>
      <c r="U53" s="96"/>
      <c r="V53" s="136"/>
      <c r="W53" s="96"/>
      <c r="X53" s="140">
        <f t="shared" si="6"/>
        <v>0</v>
      </c>
    </row>
    <row r="54" spans="1:24" s="150" customFormat="1" ht="15.75">
      <c r="A54" s="141"/>
      <c r="B54" s="142"/>
      <c r="C54" s="143"/>
      <c r="D54" s="143"/>
      <c r="E54" s="143"/>
      <c r="F54" s="144"/>
      <c r="G54" s="145"/>
      <c r="H54" s="143"/>
      <c r="I54" s="143"/>
      <c r="J54" s="143"/>
      <c r="K54" s="146"/>
      <c r="L54" s="143"/>
      <c r="M54" s="143"/>
      <c r="N54" s="143"/>
      <c r="O54" s="143"/>
      <c r="P54" s="147"/>
      <c r="Q54" s="148"/>
      <c r="R54" s="145"/>
      <c r="S54" s="143"/>
      <c r="T54" s="149"/>
      <c r="U54" s="149"/>
      <c r="V54" s="143"/>
      <c r="W54" s="149"/>
      <c r="X54" s="149"/>
    </row>
    <row r="55" spans="1:24" s="150" customFormat="1" ht="15.75">
      <c r="A55" s="141"/>
      <c r="B55" s="142"/>
      <c r="C55" s="143"/>
      <c r="D55" s="143"/>
      <c r="E55" s="143"/>
      <c r="F55" s="144"/>
      <c r="G55" s="145"/>
      <c r="H55" s="143"/>
      <c r="I55" s="143"/>
      <c r="J55" s="143"/>
      <c r="K55" s="146"/>
      <c r="L55" s="143"/>
      <c r="M55" s="143"/>
      <c r="N55" s="143"/>
      <c r="O55" s="143"/>
      <c r="P55" s="151"/>
      <c r="Q55" s="148"/>
      <c r="R55" s="145"/>
      <c r="S55" s="143"/>
      <c r="T55" s="149"/>
      <c r="U55" s="149"/>
      <c r="V55" s="143"/>
      <c r="W55" s="149"/>
      <c r="X55" s="149"/>
    </row>
    <row r="56" spans="1:24" s="158" customFormat="1" ht="15.75">
      <c r="A56" s="152"/>
      <c r="B56" s="153"/>
      <c r="C56" s="154"/>
      <c r="D56" s="154"/>
      <c r="E56" s="154"/>
      <c r="F56" s="155"/>
      <c r="G56" s="155"/>
      <c r="H56" s="156"/>
      <c r="I56" s="156"/>
      <c r="J56" s="154"/>
      <c r="K56" s="157"/>
      <c r="L56" s="157"/>
      <c r="M56" s="154"/>
      <c r="N56" s="154"/>
      <c r="O56" s="154"/>
      <c r="P56" s="154"/>
      <c r="Q56" s="156"/>
      <c r="T56" s="159"/>
      <c r="U56" s="149"/>
      <c r="W56" s="149"/>
      <c r="X56" s="149"/>
    </row>
    <row r="57" spans="1:17" ht="18" customHeight="1">
      <c r="A57" s="18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.75">
      <c r="A58" s="3"/>
      <c r="B58" s="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3"/>
      <c r="B59" s="57"/>
      <c r="C59" s="17"/>
      <c r="D59" s="17"/>
      <c r="E59" s="17"/>
      <c r="F59" s="17"/>
      <c r="G59" s="17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>
      <c r="A60" s="3"/>
      <c r="B60" s="4"/>
      <c r="C60" s="17"/>
      <c r="D60" s="17"/>
      <c r="E60" s="17"/>
      <c r="F60" s="17"/>
      <c r="G60" s="17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>
      <c r="A61" s="3"/>
      <c r="B61" s="4"/>
      <c r="C61" s="17"/>
      <c r="D61" s="17"/>
      <c r="E61" s="17"/>
      <c r="F61" s="17"/>
      <c r="G61" s="17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>
      <c r="A62" s="3"/>
      <c r="B62" s="6"/>
      <c r="C62" s="6"/>
      <c r="D62" s="6"/>
      <c r="E62" s="6"/>
      <c r="F62" s="6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>
      <c r="A63" s="3"/>
      <c r="B63" s="6"/>
      <c r="C63" s="6"/>
      <c r="D63" s="6"/>
      <c r="E63" s="6"/>
      <c r="F63" s="6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6.5" customHeight="1">
      <c r="A64" s="3"/>
      <c r="B64" s="4"/>
      <c r="C64" s="4"/>
      <c r="D64" s="4"/>
      <c r="E64" s="4"/>
      <c r="F64" s="4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3"/>
      <c r="B65" s="4"/>
      <c r="C65" s="4"/>
      <c r="D65" s="4"/>
      <c r="E65" s="4"/>
      <c r="F65" s="4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3"/>
      <c r="B66" s="4"/>
      <c r="C66" s="4"/>
      <c r="D66" s="4"/>
      <c r="E66" s="4"/>
      <c r="F66" s="4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>
      <c r="A67" s="3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3"/>
      <c r="B68" s="4"/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3"/>
      <c r="B69" s="4"/>
      <c r="C69" s="4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3"/>
      <c r="B70" s="7"/>
      <c r="C70" s="7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s="9" customFormat="1" ht="16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7" ht="15.75">
      <c r="A72" s="3"/>
      <c r="B72" s="6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3"/>
      <c r="B73" s="6"/>
      <c r="C73" s="6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3"/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>
      <c r="A75" s="3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" customHeight="1">
      <c r="A76" s="3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3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3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>
      <c r="A79" s="3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3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3"/>
      <c r="B81" s="6"/>
      <c r="C81" s="6"/>
      <c r="D81" s="6"/>
      <c r="E81" s="6"/>
      <c r="F81" s="6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3"/>
      <c r="B82" s="4"/>
      <c r="C82" s="4"/>
      <c r="D82" s="4"/>
      <c r="E82" s="4"/>
      <c r="F82" s="4"/>
      <c r="G82" s="4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3"/>
      <c r="B83" s="4"/>
      <c r="C83" s="4"/>
      <c r="D83" s="4"/>
      <c r="E83" s="4"/>
      <c r="F83" s="4"/>
      <c r="G83" s="4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3"/>
      <c r="B84" s="4"/>
      <c r="C84" s="4"/>
      <c r="D84" s="4"/>
      <c r="E84" s="4"/>
      <c r="F84" s="4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3"/>
      <c r="B85" s="4"/>
      <c r="C85" s="4"/>
      <c r="D85" s="4"/>
      <c r="E85" s="4"/>
      <c r="F85" s="4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3"/>
      <c r="B86" s="4"/>
      <c r="C86" s="4"/>
      <c r="D86" s="4"/>
      <c r="E86" s="4"/>
      <c r="F86" s="4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3"/>
      <c r="B87" s="4"/>
      <c r="C87" s="4"/>
      <c r="D87" s="4"/>
      <c r="E87" s="4"/>
      <c r="F87" s="4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3"/>
      <c r="B88" s="4"/>
      <c r="C88" s="4"/>
      <c r="D88" s="4"/>
      <c r="E88" s="4"/>
      <c r="F88" s="4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3"/>
      <c r="B89" s="4"/>
      <c r="C89" s="4"/>
      <c r="D89" s="4"/>
      <c r="E89" s="4"/>
      <c r="F89" s="4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3"/>
      <c r="B90" s="4"/>
      <c r="C90" s="4"/>
      <c r="D90" s="4"/>
      <c r="E90" s="4"/>
      <c r="F90" s="4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3"/>
      <c r="B91" s="4"/>
      <c r="C91" s="4"/>
      <c r="D91" s="4"/>
      <c r="E91" s="4"/>
      <c r="F91" s="4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3"/>
      <c r="B92" s="4"/>
      <c r="C92" s="4"/>
      <c r="D92" s="4"/>
      <c r="E92" s="4"/>
      <c r="F92" s="4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3"/>
      <c r="B93" s="4"/>
      <c r="C93" s="4"/>
      <c r="D93" s="4"/>
      <c r="E93" s="4"/>
      <c r="F93" s="4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3"/>
      <c r="B94" s="4"/>
      <c r="C94" s="4"/>
      <c r="D94" s="4"/>
      <c r="E94" s="4"/>
      <c r="F94" s="4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3"/>
      <c r="B95" s="4"/>
      <c r="C95" s="4"/>
      <c r="D95" s="4"/>
      <c r="E95" s="4"/>
      <c r="F95" s="4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3"/>
      <c r="B96" s="4"/>
      <c r="C96" s="4"/>
      <c r="D96" s="4"/>
      <c r="E96" s="4"/>
      <c r="F96" s="4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3"/>
      <c r="B97" s="4"/>
      <c r="C97" s="4"/>
      <c r="D97" s="4"/>
      <c r="E97" s="4"/>
      <c r="F97" s="4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3"/>
      <c r="B98" s="4"/>
      <c r="C98" s="4"/>
      <c r="D98" s="4"/>
      <c r="E98" s="4"/>
      <c r="F98" s="4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3"/>
      <c r="B99" s="4"/>
      <c r="C99" s="4"/>
      <c r="D99" s="4"/>
      <c r="E99" s="4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3"/>
      <c r="B100" s="4"/>
      <c r="C100" s="4"/>
      <c r="D100" s="4"/>
      <c r="E100" s="4"/>
      <c r="F100" s="4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3"/>
      <c r="B101" s="4"/>
      <c r="C101" s="4"/>
      <c r="D101" s="4"/>
      <c r="E101" s="4"/>
      <c r="F101" s="4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3"/>
      <c r="B102" s="4"/>
      <c r="C102" s="4"/>
      <c r="D102" s="4"/>
      <c r="E102" s="4"/>
      <c r="F102" s="4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3"/>
      <c r="B103" s="4"/>
      <c r="C103" s="4"/>
      <c r="D103" s="4"/>
      <c r="E103" s="4"/>
      <c r="F103" s="4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3"/>
      <c r="B104" s="4"/>
      <c r="C104" s="4"/>
      <c r="D104" s="4"/>
      <c r="E104" s="4"/>
      <c r="F104" s="4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3"/>
      <c r="B105" s="4"/>
      <c r="C105" s="4"/>
      <c r="D105" s="4"/>
      <c r="E105" s="4"/>
      <c r="F105" s="4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3"/>
      <c r="B106" s="4"/>
      <c r="C106" s="4"/>
      <c r="D106" s="4"/>
      <c r="E106" s="4"/>
      <c r="F106" s="4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3"/>
      <c r="B107" s="4"/>
      <c r="C107" s="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3"/>
      <c r="B108" s="4"/>
      <c r="C108" s="4"/>
      <c r="D108" s="4"/>
      <c r="E108" s="4"/>
      <c r="F108" s="4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3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3"/>
      <c r="B110" s="4"/>
      <c r="C110" s="4"/>
      <c r="D110" s="4"/>
      <c r="E110" s="4"/>
      <c r="F110" s="4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3"/>
      <c r="B111" s="4"/>
      <c r="C111" s="4"/>
      <c r="D111" s="4"/>
      <c r="E111" s="4"/>
      <c r="F111" s="4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3"/>
      <c r="B112" s="4"/>
      <c r="C112" s="4"/>
      <c r="D112" s="4"/>
      <c r="E112" s="4"/>
      <c r="F112" s="4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3"/>
      <c r="B113" s="4"/>
      <c r="C113" s="4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3"/>
      <c r="B114" s="4"/>
      <c r="C114" s="4"/>
      <c r="D114" s="4"/>
      <c r="E114" s="4"/>
      <c r="F114" s="4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3"/>
      <c r="B115" s="4"/>
      <c r="C115" s="4"/>
      <c r="D115" s="4"/>
      <c r="E115" s="4"/>
      <c r="F115" s="4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10"/>
      <c r="B116" s="11"/>
      <c r="C116" s="11"/>
      <c r="D116" s="11"/>
      <c r="E116" s="11"/>
      <c r="F116" s="11"/>
      <c r="G116" s="11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.75">
      <c r="A117" s="11"/>
      <c r="B117" s="11"/>
      <c r="C117" s="11"/>
      <c r="D117" s="11"/>
      <c r="E117" s="11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5.75">
      <c r="A118" s="10"/>
      <c r="B118" s="10"/>
      <c r="C118" s="10"/>
      <c r="D118" s="10"/>
      <c r="E118" s="10"/>
      <c r="F118" s="10"/>
      <c r="G118" s="10"/>
      <c r="H118" s="5"/>
      <c r="I118" s="5"/>
      <c r="J118" s="5"/>
      <c r="K118" s="5"/>
      <c r="L118" s="5"/>
      <c r="M118" s="5"/>
      <c r="N118" s="5"/>
      <c r="O118" s="5"/>
      <c r="P118" s="5"/>
      <c r="Q118" s="5"/>
    </row>
  </sheetData>
  <sheetProtection/>
  <mergeCells count="31">
    <mergeCell ref="T5:T6"/>
    <mergeCell ref="U5:U6"/>
    <mergeCell ref="V5:V6"/>
    <mergeCell ref="W5:W6"/>
    <mergeCell ref="X5:X6"/>
    <mergeCell ref="T3:X3"/>
    <mergeCell ref="T4:X4"/>
    <mergeCell ref="R5:R6"/>
    <mergeCell ref="S5:S6"/>
    <mergeCell ref="J5:J6"/>
    <mergeCell ref="K5:K6"/>
    <mergeCell ref="L5:L6"/>
    <mergeCell ref="M5:M6"/>
    <mergeCell ref="N5:P5"/>
    <mergeCell ref="G1:H1"/>
    <mergeCell ref="E2:H2"/>
    <mergeCell ref="C3:H3"/>
    <mergeCell ref="C4:H4"/>
    <mergeCell ref="F5:F6"/>
    <mergeCell ref="G5:G6"/>
    <mergeCell ref="H5:H6"/>
    <mergeCell ref="A71:Q71"/>
    <mergeCell ref="B3:B6"/>
    <mergeCell ref="A3:A6"/>
    <mergeCell ref="C5:E5"/>
    <mergeCell ref="I3:M3"/>
    <mergeCell ref="I4:M4"/>
    <mergeCell ref="I5:I6"/>
    <mergeCell ref="N3:S3"/>
    <mergeCell ref="N4:S4"/>
    <mergeCell ref="Q5:Q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8" r:id="rId1"/>
  <rowBreaks count="1" manualBreakCount="1">
    <brk id="56" max="255" man="1"/>
  </rowBreaks>
  <colBreaks count="2" manualBreakCount="2">
    <brk id="8" max="52" man="1"/>
    <brk id="19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view="pageBreakPreview" zoomScale="81" zoomScaleNormal="71" zoomScaleSheetLayoutView="81" zoomScalePageLayoutView="0" workbookViewId="0" topLeftCell="A1">
      <pane xSplit="2" ySplit="7" topLeftCell="Q5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52" sqref="Z52:Z54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24.00390625" style="13" customWidth="1"/>
    <col min="4" max="4" width="19.421875" style="13" customWidth="1"/>
    <col min="5" max="6" width="17.28125" style="13" customWidth="1"/>
    <col min="7" max="8" width="26.421875" style="13" customWidth="1"/>
    <col min="9" max="10" width="17.00390625" style="13" customWidth="1"/>
    <col min="11" max="13" width="20.00390625" style="13" customWidth="1"/>
    <col min="14" max="15" width="24.421875" style="14" customWidth="1"/>
    <col min="16" max="16" width="18.28125" style="14" customWidth="1"/>
    <col min="17" max="17" width="17.140625" style="14" customWidth="1"/>
    <col min="18" max="19" width="22.8515625" style="14" customWidth="1"/>
    <col min="20" max="20" width="16.00390625" style="14" customWidth="1"/>
    <col min="21" max="21" width="13.140625" style="1" customWidth="1"/>
    <col min="22" max="22" width="14.28125" style="1" customWidth="1"/>
    <col min="23" max="23" width="13.8515625" style="1" customWidth="1"/>
    <col min="24" max="24" width="13.57421875" style="1" customWidth="1"/>
    <col min="25" max="25" width="19.421875" style="1" customWidth="1"/>
    <col min="26" max="16384" width="9.140625" style="1" customWidth="1"/>
  </cols>
  <sheetData>
    <row r="1" spans="1:20" ht="15.75">
      <c r="A1" s="44"/>
      <c r="B1" s="44"/>
      <c r="C1" s="44"/>
      <c r="D1" s="44"/>
      <c r="E1" s="44"/>
      <c r="F1" s="117" t="s">
        <v>92</v>
      </c>
      <c r="G1" s="117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8.75">
      <c r="A2" s="45"/>
      <c r="B2" s="45"/>
      <c r="C2" s="45"/>
      <c r="D2" s="118" t="s">
        <v>86</v>
      </c>
      <c r="E2" s="118"/>
      <c r="F2" s="118"/>
      <c r="G2" s="118"/>
      <c r="H2" s="45"/>
      <c r="I2" s="45"/>
      <c r="J2" s="64"/>
      <c r="K2" s="59"/>
      <c r="L2" s="59"/>
      <c r="M2" s="59"/>
      <c r="N2" s="2"/>
      <c r="O2" s="2"/>
      <c r="P2" s="2"/>
      <c r="Q2" s="2"/>
      <c r="R2" s="2"/>
      <c r="S2" s="2"/>
      <c r="T2" s="2"/>
    </row>
    <row r="3" spans="1:27" ht="43.5" customHeight="1">
      <c r="A3" s="110" t="s">
        <v>0</v>
      </c>
      <c r="B3" s="107" t="s">
        <v>63</v>
      </c>
      <c r="C3" s="123" t="s">
        <v>89</v>
      </c>
      <c r="D3" s="124"/>
      <c r="E3" s="124"/>
      <c r="F3" s="124"/>
      <c r="G3" s="124"/>
      <c r="H3" s="116" t="s">
        <v>87</v>
      </c>
      <c r="I3" s="116"/>
      <c r="J3" s="116"/>
      <c r="K3" s="113" t="s">
        <v>90</v>
      </c>
      <c r="L3" s="114"/>
      <c r="M3" s="114"/>
      <c r="N3" s="114"/>
      <c r="O3" s="114"/>
      <c r="P3" s="113" t="s">
        <v>89</v>
      </c>
      <c r="Q3" s="114"/>
      <c r="R3" s="114"/>
      <c r="S3" s="114"/>
      <c r="T3" s="114"/>
      <c r="U3" s="114"/>
      <c r="V3" s="114"/>
      <c r="W3" s="116" t="s">
        <v>89</v>
      </c>
      <c r="X3" s="116"/>
      <c r="Y3" s="116"/>
      <c r="Z3" s="49"/>
      <c r="AA3" s="49"/>
    </row>
    <row r="4" spans="1:27" ht="27.75" customHeight="1">
      <c r="A4" s="111"/>
      <c r="B4" s="108"/>
      <c r="C4" s="116" t="s">
        <v>46</v>
      </c>
      <c r="D4" s="116"/>
      <c r="E4" s="116"/>
      <c r="F4" s="116"/>
      <c r="G4" s="116"/>
      <c r="H4" s="113" t="s">
        <v>46</v>
      </c>
      <c r="I4" s="114"/>
      <c r="J4" s="114"/>
      <c r="K4" s="113" t="s">
        <v>46</v>
      </c>
      <c r="L4" s="114"/>
      <c r="M4" s="114"/>
      <c r="N4" s="114"/>
      <c r="O4" s="114"/>
      <c r="P4" s="113" t="s">
        <v>46</v>
      </c>
      <c r="Q4" s="114"/>
      <c r="R4" s="114"/>
      <c r="S4" s="114"/>
      <c r="T4" s="114"/>
      <c r="U4" s="114"/>
      <c r="V4" s="114"/>
      <c r="W4" s="116" t="s">
        <v>46</v>
      </c>
      <c r="X4" s="116"/>
      <c r="Y4" s="116"/>
      <c r="Z4" s="49"/>
      <c r="AA4" s="49"/>
    </row>
    <row r="5" spans="1:25" ht="27.75" customHeight="1">
      <c r="A5" s="111"/>
      <c r="B5" s="108"/>
      <c r="C5" s="113" t="s">
        <v>49</v>
      </c>
      <c r="D5" s="114"/>
      <c r="E5" s="115"/>
      <c r="F5" s="116" t="s">
        <v>67</v>
      </c>
      <c r="G5" s="122" t="s">
        <v>74</v>
      </c>
      <c r="H5" s="122" t="s">
        <v>76</v>
      </c>
      <c r="I5" s="116" t="s">
        <v>48</v>
      </c>
      <c r="J5" s="116" t="s">
        <v>85</v>
      </c>
      <c r="K5" s="116" t="s">
        <v>54</v>
      </c>
      <c r="L5" s="116" t="s">
        <v>55</v>
      </c>
      <c r="M5" s="116" t="s">
        <v>56</v>
      </c>
      <c r="N5" s="113" t="s">
        <v>49</v>
      </c>
      <c r="O5" s="114"/>
      <c r="P5" s="115"/>
      <c r="Q5" s="116" t="s">
        <v>67</v>
      </c>
      <c r="R5" s="122" t="s">
        <v>74</v>
      </c>
      <c r="S5" s="122" t="s">
        <v>76</v>
      </c>
      <c r="T5" s="116" t="s">
        <v>48</v>
      </c>
      <c r="U5" s="116" t="s">
        <v>85</v>
      </c>
      <c r="V5" s="124" t="s">
        <v>57</v>
      </c>
      <c r="W5" s="116" t="s">
        <v>59</v>
      </c>
      <c r="X5" s="116" t="s">
        <v>58</v>
      </c>
      <c r="Y5" s="116" t="s">
        <v>53</v>
      </c>
    </row>
    <row r="6" spans="1:25" ht="307.5" customHeight="1">
      <c r="A6" s="112"/>
      <c r="B6" s="109"/>
      <c r="C6" s="61" t="s">
        <v>65</v>
      </c>
      <c r="D6" s="60" t="s">
        <v>66</v>
      </c>
      <c r="E6" s="60" t="s">
        <v>64</v>
      </c>
      <c r="F6" s="116"/>
      <c r="G6" s="122"/>
      <c r="H6" s="122"/>
      <c r="I6" s="116"/>
      <c r="J6" s="116"/>
      <c r="K6" s="116"/>
      <c r="L6" s="116"/>
      <c r="M6" s="116"/>
      <c r="N6" s="61" t="s">
        <v>75</v>
      </c>
      <c r="O6" s="60" t="s">
        <v>71</v>
      </c>
      <c r="P6" s="60" t="s">
        <v>72</v>
      </c>
      <c r="Q6" s="116"/>
      <c r="R6" s="122"/>
      <c r="S6" s="122"/>
      <c r="T6" s="116"/>
      <c r="U6" s="116"/>
      <c r="V6" s="121"/>
      <c r="W6" s="116"/>
      <c r="X6" s="116"/>
      <c r="Y6" s="116"/>
    </row>
    <row r="7" spans="1:25" s="15" customFormat="1" ht="17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12</v>
      </c>
      <c r="J7" s="34">
        <v>13</v>
      </c>
      <c r="K7" s="34">
        <v>14</v>
      </c>
      <c r="L7" s="34">
        <v>15</v>
      </c>
      <c r="M7" s="34">
        <v>16</v>
      </c>
      <c r="N7" s="34">
        <v>17</v>
      </c>
      <c r="O7" s="34">
        <v>18</v>
      </c>
      <c r="P7" s="34">
        <v>19</v>
      </c>
      <c r="Q7" s="34">
        <v>20</v>
      </c>
      <c r="R7" s="34">
        <v>21</v>
      </c>
      <c r="S7" s="34">
        <v>22</v>
      </c>
      <c r="T7" s="34">
        <v>26</v>
      </c>
      <c r="U7" s="34">
        <v>27</v>
      </c>
      <c r="V7" s="34">
        <v>28</v>
      </c>
      <c r="W7" s="34">
        <v>29</v>
      </c>
      <c r="X7" s="34">
        <v>30</v>
      </c>
      <c r="Y7" s="34">
        <v>31</v>
      </c>
    </row>
    <row r="8" spans="1:26" s="24" customFormat="1" ht="15.75">
      <c r="A8" s="30">
        <v>1</v>
      </c>
      <c r="B8" s="22" t="s">
        <v>1</v>
      </c>
      <c r="C8" s="70"/>
      <c r="D8" s="70"/>
      <c r="E8" s="71"/>
      <c r="F8" s="38">
        <v>8923</v>
      </c>
      <c r="G8" s="35">
        <v>1.402</v>
      </c>
      <c r="H8" s="35">
        <f>S8</f>
        <v>0.786</v>
      </c>
      <c r="I8" s="23">
        <v>58</v>
      </c>
      <c r="J8" s="29">
        <v>53.1</v>
      </c>
      <c r="K8" s="29">
        <f>ROUND((C8*F8*G8/1000-C8*J8/100*I8*247/1000)*H8,1)</f>
        <v>0</v>
      </c>
      <c r="L8" s="29">
        <f>ROUND(D8*F8*G8/1000*H8,1)</f>
        <v>0</v>
      </c>
      <c r="M8" s="29">
        <f>ROUND(E8*F8*G8/1000*H8,1)</f>
        <v>0</v>
      </c>
      <c r="N8" s="72">
        <v>102</v>
      </c>
      <c r="O8" s="72"/>
      <c r="P8" s="72">
        <v>1</v>
      </c>
      <c r="Q8" s="38">
        <v>10153</v>
      </c>
      <c r="R8" s="58">
        <v>1.342</v>
      </c>
      <c r="S8" s="35">
        <v>0.786</v>
      </c>
      <c r="T8" s="97">
        <v>58</v>
      </c>
      <c r="U8" s="29">
        <v>53.1</v>
      </c>
      <c r="V8" s="42">
        <f>ROUND((N8*Q8*R8/1000-N8*U8/100*T8*247/1000)*S8,1)+0.2</f>
        <v>482.7</v>
      </c>
      <c r="W8" s="42">
        <f>ROUND(O8*Q8*R8/1000*S8,1)</f>
        <v>0</v>
      </c>
      <c r="X8" s="42">
        <f>ROUND(P8*Q8*R8/1000*S8,1)</f>
        <v>10.7</v>
      </c>
      <c r="Y8" s="42">
        <f aca="true" t="shared" si="0" ref="Y8:Y52">K8+L8+M8+V8+W8+X8</f>
        <v>493.4</v>
      </c>
      <c r="Z8" s="24">
        <f>Y8-'[1]2020'!$AJ4</f>
        <v>0</v>
      </c>
    </row>
    <row r="9" spans="1:26" s="24" customFormat="1" ht="15.75">
      <c r="A9" s="31">
        <v>2</v>
      </c>
      <c r="B9" s="22" t="s">
        <v>2</v>
      </c>
      <c r="C9" s="73">
        <v>25</v>
      </c>
      <c r="D9" s="73"/>
      <c r="E9" s="74"/>
      <c r="F9" s="38">
        <v>8923</v>
      </c>
      <c r="G9" s="35">
        <v>1.402</v>
      </c>
      <c r="H9" s="35">
        <f aca="true" t="shared" si="1" ref="H9:H52">S9</f>
        <v>0.933</v>
      </c>
      <c r="I9" s="23">
        <v>58</v>
      </c>
      <c r="J9" s="29">
        <v>53.1</v>
      </c>
      <c r="K9" s="29">
        <f aca="true" t="shared" si="2" ref="K9:K52">ROUND((C9*F9*G9/1000-C9*J9/100*I9*247/1000)*H9,1)</f>
        <v>114.4</v>
      </c>
      <c r="L9" s="29">
        <f aca="true" t="shared" si="3" ref="L9:L52">ROUND(D9*F9*G9/1000*H9,1)</f>
        <v>0</v>
      </c>
      <c r="M9" s="29">
        <f aca="true" t="shared" si="4" ref="M9:M52">ROUND(E9*F9*G9/1000*H9,1)</f>
        <v>0</v>
      </c>
      <c r="N9" s="75">
        <v>102</v>
      </c>
      <c r="O9" s="75">
        <v>1</v>
      </c>
      <c r="P9" s="75">
        <v>1</v>
      </c>
      <c r="Q9" s="38">
        <v>10153</v>
      </c>
      <c r="R9" s="58">
        <v>1.342</v>
      </c>
      <c r="S9" s="35">
        <v>0.933</v>
      </c>
      <c r="T9" s="97">
        <v>58</v>
      </c>
      <c r="U9" s="29">
        <v>53.1</v>
      </c>
      <c r="V9" s="42">
        <f>ROUND((N9*Q9*R9/1000-N9*U9/100*T9*247/1000)*S9,1)+0.1</f>
        <v>572.8000000000001</v>
      </c>
      <c r="W9" s="42">
        <f aca="true" t="shared" si="5" ref="W9:W52">ROUND(O9*Q9*R9/1000*S9,1)</f>
        <v>12.7</v>
      </c>
      <c r="X9" s="42">
        <f aca="true" t="shared" si="6" ref="X9:X52">ROUND(P9*Q9*R9/1000*S9,1)</f>
        <v>12.7</v>
      </c>
      <c r="Y9" s="42">
        <f t="shared" si="0"/>
        <v>712.6000000000001</v>
      </c>
      <c r="Z9" s="24">
        <f>Y9-'[1]2020'!$AJ5</f>
        <v>0</v>
      </c>
    </row>
    <row r="10" spans="1:26" s="24" customFormat="1" ht="15.75">
      <c r="A10" s="30">
        <v>3</v>
      </c>
      <c r="B10" s="22" t="s">
        <v>3</v>
      </c>
      <c r="C10" s="73">
        <v>20</v>
      </c>
      <c r="D10" s="73"/>
      <c r="E10" s="74"/>
      <c r="F10" s="38">
        <v>8923</v>
      </c>
      <c r="G10" s="35">
        <v>1.402</v>
      </c>
      <c r="H10" s="35">
        <f t="shared" si="1"/>
        <v>1.045</v>
      </c>
      <c r="I10" s="23">
        <v>58</v>
      </c>
      <c r="J10" s="29">
        <v>53.1</v>
      </c>
      <c r="K10" s="29">
        <f t="shared" si="2"/>
        <v>102.5</v>
      </c>
      <c r="L10" s="29">
        <f t="shared" si="3"/>
        <v>0</v>
      </c>
      <c r="M10" s="29">
        <f t="shared" si="4"/>
        <v>0</v>
      </c>
      <c r="N10" s="75">
        <v>121</v>
      </c>
      <c r="O10" s="75">
        <v>1</v>
      </c>
      <c r="P10" s="75"/>
      <c r="Q10" s="38">
        <v>10153</v>
      </c>
      <c r="R10" s="58">
        <v>1.342</v>
      </c>
      <c r="S10" s="35">
        <v>1.045</v>
      </c>
      <c r="T10" s="97">
        <v>58</v>
      </c>
      <c r="U10" s="29">
        <v>53.1</v>
      </c>
      <c r="V10" s="42">
        <f>ROUND((N10*Q10*R10/1000-N10*U10/100*T10*247/1000)*S10,1)+0.1</f>
        <v>761.1</v>
      </c>
      <c r="W10" s="42">
        <f t="shared" si="5"/>
        <v>14.2</v>
      </c>
      <c r="X10" s="42">
        <f t="shared" si="6"/>
        <v>0</v>
      </c>
      <c r="Y10" s="42">
        <f t="shared" si="0"/>
        <v>877.8000000000001</v>
      </c>
      <c r="Z10" s="24">
        <f>Y10-'[1]2020'!$AJ6</f>
        <v>0</v>
      </c>
    </row>
    <row r="11" spans="1:26" s="24" customFormat="1" ht="15.75">
      <c r="A11" s="31">
        <v>4</v>
      </c>
      <c r="B11" s="22" t="s">
        <v>4</v>
      </c>
      <c r="C11" s="73">
        <v>45</v>
      </c>
      <c r="D11" s="76"/>
      <c r="E11" s="74"/>
      <c r="F11" s="38">
        <v>8923</v>
      </c>
      <c r="G11" s="35">
        <v>1.402</v>
      </c>
      <c r="H11" s="35">
        <f t="shared" si="1"/>
        <v>1.253</v>
      </c>
      <c r="I11" s="23">
        <v>58</v>
      </c>
      <c r="J11" s="29">
        <v>53.1</v>
      </c>
      <c r="K11" s="29">
        <f t="shared" si="2"/>
        <v>276.5</v>
      </c>
      <c r="L11" s="29">
        <f t="shared" si="3"/>
        <v>0</v>
      </c>
      <c r="M11" s="29">
        <f t="shared" si="4"/>
        <v>0</v>
      </c>
      <c r="N11" s="75">
        <v>191</v>
      </c>
      <c r="O11" s="75">
        <v>4</v>
      </c>
      <c r="P11" s="75">
        <v>3</v>
      </c>
      <c r="Q11" s="38">
        <v>10153</v>
      </c>
      <c r="R11" s="58">
        <v>1.342</v>
      </c>
      <c r="S11" s="35">
        <v>1.253</v>
      </c>
      <c r="T11" s="97">
        <v>58</v>
      </c>
      <c r="U11" s="29">
        <v>53.1</v>
      </c>
      <c r="V11" s="42">
        <f>ROUND((N11*Q11*R11/1000-N11*U11/100*T11*247/1000)*S11,1)-0.5</f>
        <v>1439.8</v>
      </c>
      <c r="W11" s="42">
        <f t="shared" si="5"/>
        <v>68.3</v>
      </c>
      <c r="X11" s="42">
        <f t="shared" si="6"/>
        <v>51.2</v>
      </c>
      <c r="Y11" s="42">
        <f t="shared" si="0"/>
        <v>1835.8</v>
      </c>
      <c r="Z11" s="24">
        <f>Y11-'[1]2020'!$AJ7</f>
        <v>0</v>
      </c>
    </row>
    <row r="12" spans="1:26" s="24" customFormat="1" ht="15.75">
      <c r="A12" s="30">
        <v>5</v>
      </c>
      <c r="B12" s="22" t="s">
        <v>5</v>
      </c>
      <c r="C12" s="73">
        <v>74</v>
      </c>
      <c r="D12" s="73">
        <v>1</v>
      </c>
      <c r="E12" s="74"/>
      <c r="F12" s="38">
        <v>8923</v>
      </c>
      <c r="G12" s="35">
        <v>1.402</v>
      </c>
      <c r="H12" s="35">
        <f t="shared" si="1"/>
        <v>1.058</v>
      </c>
      <c r="I12" s="23">
        <v>58</v>
      </c>
      <c r="J12" s="29">
        <v>53.1</v>
      </c>
      <c r="K12" s="29">
        <f t="shared" si="2"/>
        <v>383.9</v>
      </c>
      <c r="L12" s="29">
        <f t="shared" si="3"/>
        <v>13.2</v>
      </c>
      <c r="M12" s="29">
        <f t="shared" si="4"/>
        <v>0</v>
      </c>
      <c r="N12" s="75">
        <v>196</v>
      </c>
      <c r="O12" s="75"/>
      <c r="P12" s="75">
        <v>5</v>
      </c>
      <c r="Q12" s="38">
        <v>10153</v>
      </c>
      <c r="R12" s="58">
        <v>1.342</v>
      </c>
      <c r="S12" s="35">
        <v>1.058</v>
      </c>
      <c r="T12" s="97">
        <v>58</v>
      </c>
      <c r="U12" s="29">
        <v>53.1</v>
      </c>
      <c r="V12" s="42">
        <f>ROUND((N12*Q12*R12/1000-N12*U12/100*T12*247/1000)*S12,1)+0.2</f>
        <v>1248.2</v>
      </c>
      <c r="W12" s="42">
        <f t="shared" si="5"/>
        <v>0</v>
      </c>
      <c r="X12" s="42">
        <f t="shared" si="6"/>
        <v>72.1</v>
      </c>
      <c r="Y12" s="42">
        <f t="shared" si="0"/>
        <v>1717.3999999999999</v>
      </c>
      <c r="Z12" s="24">
        <f>Y12-'[1]2020'!$AJ8</f>
        <v>0</v>
      </c>
    </row>
    <row r="13" spans="1:26" s="24" customFormat="1" ht="15.75">
      <c r="A13" s="31">
        <v>6</v>
      </c>
      <c r="B13" s="22" t="s">
        <v>6</v>
      </c>
      <c r="C13" s="73"/>
      <c r="D13" s="73"/>
      <c r="E13" s="74"/>
      <c r="F13" s="38">
        <v>8923</v>
      </c>
      <c r="G13" s="35">
        <v>1.402</v>
      </c>
      <c r="H13" s="35">
        <f t="shared" si="1"/>
        <v>0.795</v>
      </c>
      <c r="I13" s="23">
        <v>58</v>
      </c>
      <c r="J13" s="29">
        <v>53.1</v>
      </c>
      <c r="K13" s="29">
        <f t="shared" si="2"/>
        <v>0</v>
      </c>
      <c r="L13" s="29">
        <f t="shared" si="3"/>
        <v>0</v>
      </c>
      <c r="M13" s="29">
        <f t="shared" si="4"/>
        <v>0</v>
      </c>
      <c r="N13" s="75">
        <v>156</v>
      </c>
      <c r="O13" s="75">
        <v>3</v>
      </c>
      <c r="P13" s="75">
        <v>1</v>
      </c>
      <c r="Q13" s="38">
        <v>10153</v>
      </c>
      <c r="R13" s="58">
        <v>1.342</v>
      </c>
      <c r="S13" s="35">
        <v>0.795</v>
      </c>
      <c r="T13" s="97">
        <v>58</v>
      </c>
      <c r="U13" s="29">
        <v>53.1</v>
      </c>
      <c r="V13" s="42">
        <f>ROUND((N13*Q13*R13/1000-N13*U13/100*T13*247/1000)*S13,1)-0.2</f>
        <v>746.1999999999999</v>
      </c>
      <c r="W13" s="42">
        <f t="shared" si="5"/>
        <v>32.5</v>
      </c>
      <c r="X13" s="42">
        <f t="shared" si="6"/>
        <v>10.8</v>
      </c>
      <c r="Y13" s="42">
        <f t="shared" si="0"/>
        <v>789.4999999999999</v>
      </c>
      <c r="Z13" s="24">
        <f>Y13-'[1]2020'!$AJ9</f>
        <v>0</v>
      </c>
    </row>
    <row r="14" spans="1:26" s="24" customFormat="1" ht="15.75">
      <c r="A14" s="30">
        <v>7</v>
      </c>
      <c r="B14" s="22" t="s">
        <v>7</v>
      </c>
      <c r="C14" s="77">
        <v>25</v>
      </c>
      <c r="D14" s="77"/>
      <c r="E14" s="78"/>
      <c r="F14" s="38">
        <v>8923</v>
      </c>
      <c r="G14" s="35">
        <v>1.402</v>
      </c>
      <c r="H14" s="35">
        <f t="shared" si="1"/>
        <v>0.957</v>
      </c>
      <c r="I14" s="23">
        <v>58</v>
      </c>
      <c r="J14" s="29">
        <v>53.1</v>
      </c>
      <c r="K14" s="29">
        <f t="shared" si="2"/>
        <v>117.3</v>
      </c>
      <c r="L14" s="29">
        <f t="shared" si="3"/>
        <v>0</v>
      </c>
      <c r="M14" s="29">
        <f t="shared" si="4"/>
        <v>0</v>
      </c>
      <c r="N14" s="75">
        <v>234</v>
      </c>
      <c r="O14" s="75">
        <v>1</v>
      </c>
      <c r="P14" s="75"/>
      <c r="Q14" s="38">
        <v>10153</v>
      </c>
      <c r="R14" s="58">
        <v>1.342</v>
      </c>
      <c r="S14" s="35">
        <v>0.957</v>
      </c>
      <c r="T14" s="97">
        <v>58</v>
      </c>
      <c r="U14" s="29">
        <v>53.1</v>
      </c>
      <c r="V14" s="42">
        <f>ROUND((N14*Q14*R14/1000-N14*U14/100*T14*247/1000)*S14,1)-0.6</f>
        <v>1347.1000000000001</v>
      </c>
      <c r="W14" s="42">
        <f t="shared" si="5"/>
        <v>13</v>
      </c>
      <c r="X14" s="42">
        <f t="shared" si="6"/>
        <v>0</v>
      </c>
      <c r="Y14" s="42">
        <f t="shared" si="0"/>
        <v>1477.4</v>
      </c>
      <c r="Z14" s="24">
        <f>Y14-'[1]2020'!$AJ10</f>
        <v>0</v>
      </c>
    </row>
    <row r="15" spans="1:26" s="24" customFormat="1" ht="15.75">
      <c r="A15" s="31">
        <v>8</v>
      </c>
      <c r="B15" s="22" t="s">
        <v>8</v>
      </c>
      <c r="C15" s="73">
        <v>44</v>
      </c>
      <c r="D15" s="73"/>
      <c r="E15" s="74"/>
      <c r="F15" s="38">
        <v>8923</v>
      </c>
      <c r="G15" s="35">
        <v>1.402</v>
      </c>
      <c r="H15" s="35">
        <f t="shared" si="1"/>
        <v>0.988</v>
      </c>
      <c r="I15" s="23">
        <v>58</v>
      </c>
      <c r="J15" s="29">
        <v>53.1</v>
      </c>
      <c r="K15" s="29">
        <f t="shared" si="2"/>
        <v>213.1</v>
      </c>
      <c r="L15" s="29">
        <f t="shared" si="3"/>
        <v>0</v>
      </c>
      <c r="M15" s="29">
        <f t="shared" si="4"/>
        <v>0</v>
      </c>
      <c r="N15" s="75">
        <v>224</v>
      </c>
      <c r="O15" s="75"/>
      <c r="P15" s="75">
        <v>2</v>
      </c>
      <c r="Q15" s="38">
        <v>10153</v>
      </c>
      <c r="R15" s="58">
        <v>1.342</v>
      </c>
      <c r="S15" s="35">
        <v>0.988</v>
      </c>
      <c r="T15" s="97">
        <v>58</v>
      </c>
      <c r="U15" s="29">
        <v>53.1</v>
      </c>
      <c r="V15" s="42">
        <f>ROUND((N15*Q15*R15/1000-N15*U15/100*T15*247/1000)*S15,1)+0.4</f>
        <v>1332.3000000000002</v>
      </c>
      <c r="W15" s="42">
        <f t="shared" si="5"/>
        <v>0</v>
      </c>
      <c r="X15" s="42">
        <f t="shared" si="6"/>
        <v>26.9</v>
      </c>
      <c r="Y15" s="42">
        <f t="shared" si="0"/>
        <v>1572.3000000000002</v>
      </c>
      <c r="Z15" s="24">
        <f>Y15-'[1]2020'!$AJ11</f>
        <v>0</v>
      </c>
    </row>
    <row r="16" spans="1:26" s="24" customFormat="1" ht="15.75">
      <c r="A16" s="30">
        <v>9</v>
      </c>
      <c r="B16" s="22" t="s">
        <v>9</v>
      </c>
      <c r="C16" s="73">
        <v>40</v>
      </c>
      <c r="D16" s="73">
        <v>1</v>
      </c>
      <c r="E16" s="74"/>
      <c r="F16" s="38">
        <v>8923</v>
      </c>
      <c r="G16" s="35">
        <v>1.402</v>
      </c>
      <c r="H16" s="35">
        <f t="shared" si="1"/>
        <v>1.025</v>
      </c>
      <c r="I16" s="23">
        <v>58</v>
      </c>
      <c r="J16" s="29">
        <v>53.1</v>
      </c>
      <c r="K16" s="29">
        <f t="shared" si="2"/>
        <v>201</v>
      </c>
      <c r="L16" s="29">
        <f t="shared" si="3"/>
        <v>12.8</v>
      </c>
      <c r="M16" s="29">
        <f t="shared" si="4"/>
        <v>0</v>
      </c>
      <c r="N16" s="75">
        <v>180</v>
      </c>
      <c r="O16" s="75">
        <v>2</v>
      </c>
      <c r="P16" s="75"/>
      <c r="Q16" s="38">
        <v>10153</v>
      </c>
      <c r="R16" s="58">
        <v>1.342</v>
      </c>
      <c r="S16" s="35">
        <v>1.025</v>
      </c>
      <c r="T16" s="97">
        <v>58</v>
      </c>
      <c r="U16" s="29">
        <v>53.1</v>
      </c>
      <c r="V16" s="42">
        <f>ROUND((N16*Q16*R16/1000-N16*U16/100*T16*247/1000)*S16,1)-0.2</f>
        <v>1110.2</v>
      </c>
      <c r="W16" s="42">
        <f t="shared" si="5"/>
        <v>27.9</v>
      </c>
      <c r="X16" s="42">
        <f t="shared" si="6"/>
        <v>0</v>
      </c>
      <c r="Y16" s="42">
        <f t="shared" si="0"/>
        <v>1351.9</v>
      </c>
      <c r="Z16" s="24">
        <f>Y16-'[1]2020'!$AJ12</f>
        <v>0</v>
      </c>
    </row>
    <row r="17" spans="1:26" s="24" customFormat="1" ht="15.75">
      <c r="A17" s="31">
        <v>10</v>
      </c>
      <c r="B17" s="22" t="s">
        <v>10</v>
      </c>
      <c r="C17" s="73">
        <v>45</v>
      </c>
      <c r="D17" s="73"/>
      <c r="E17" s="74"/>
      <c r="F17" s="38">
        <v>8923</v>
      </c>
      <c r="G17" s="35">
        <v>1.402</v>
      </c>
      <c r="H17" s="35">
        <f t="shared" si="1"/>
        <v>1.063</v>
      </c>
      <c r="I17" s="23">
        <v>58</v>
      </c>
      <c r="J17" s="29">
        <v>53.1</v>
      </c>
      <c r="K17" s="29">
        <f t="shared" si="2"/>
        <v>234.5</v>
      </c>
      <c r="L17" s="29">
        <f t="shared" si="3"/>
        <v>0</v>
      </c>
      <c r="M17" s="29">
        <f t="shared" si="4"/>
        <v>0</v>
      </c>
      <c r="N17" s="75">
        <v>189</v>
      </c>
      <c r="O17" s="75"/>
      <c r="P17" s="75"/>
      <c r="Q17" s="38">
        <v>10153</v>
      </c>
      <c r="R17" s="58">
        <v>1.342</v>
      </c>
      <c r="S17" s="35">
        <v>1.063</v>
      </c>
      <c r="T17" s="97">
        <v>58</v>
      </c>
      <c r="U17" s="29">
        <v>53.1</v>
      </c>
      <c r="V17" s="42">
        <f>ROUND((N17*Q17*R17/1000-N17*U17/100*T17*247/1000)*S17,1)-0.1</f>
        <v>1209</v>
      </c>
      <c r="W17" s="42">
        <f t="shared" si="5"/>
        <v>0</v>
      </c>
      <c r="X17" s="42">
        <f t="shared" si="6"/>
        <v>0</v>
      </c>
      <c r="Y17" s="42">
        <f t="shared" si="0"/>
        <v>1443.5</v>
      </c>
      <c r="Z17" s="24">
        <f>Y17-'[1]2020'!$AJ13</f>
        <v>0</v>
      </c>
    </row>
    <row r="18" spans="1:26" s="24" customFormat="1" ht="15.75">
      <c r="A18" s="30">
        <v>11</v>
      </c>
      <c r="B18" s="25" t="s">
        <v>11</v>
      </c>
      <c r="C18" s="79">
        <v>21</v>
      </c>
      <c r="D18" s="79">
        <v>1</v>
      </c>
      <c r="E18" s="80"/>
      <c r="F18" s="38">
        <v>8923</v>
      </c>
      <c r="G18" s="35">
        <v>1.402</v>
      </c>
      <c r="H18" s="35">
        <f t="shared" si="1"/>
        <v>0.8367</v>
      </c>
      <c r="I18" s="23">
        <v>58</v>
      </c>
      <c r="J18" s="29">
        <v>53.1</v>
      </c>
      <c r="K18" s="29">
        <f t="shared" si="2"/>
        <v>86.1</v>
      </c>
      <c r="L18" s="29">
        <f t="shared" si="3"/>
        <v>10.5</v>
      </c>
      <c r="M18" s="29">
        <f t="shared" si="4"/>
        <v>0</v>
      </c>
      <c r="N18" s="81">
        <v>65</v>
      </c>
      <c r="O18" s="81">
        <v>1</v>
      </c>
      <c r="P18" s="81">
        <v>1</v>
      </c>
      <c r="Q18" s="38">
        <v>10153</v>
      </c>
      <c r="R18" s="58">
        <v>1.342</v>
      </c>
      <c r="S18" s="35">
        <v>0.8367</v>
      </c>
      <c r="T18" s="97">
        <v>58</v>
      </c>
      <c r="U18" s="29">
        <v>53.1</v>
      </c>
      <c r="V18" s="42">
        <f>ROUND((N18*Q18*R18/1000-N18*U18/100*T18*247/1000)*S18,1)+0.3</f>
        <v>327.6</v>
      </c>
      <c r="W18" s="42">
        <f t="shared" si="5"/>
        <v>11.4</v>
      </c>
      <c r="X18" s="42">
        <f t="shared" si="6"/>
        <v>11.4</v>
      </c>
      <c r="Y18" s="42">
        <f t="shared" si="0"/>
        <v>447</v>
      </c>
      <c r="Z18" s="24">
        <f>Y18-'[1]2020'!$AJ14</f>
        <v>0</v>
      </c>
    </row>
    <row r="19" spans="1:26" s="24" customFormat="1" ht="15.75">
      <c r="A19" s="31">
        <v>12</v>
      </c>
      <c r="B19" s="22" t="s">
        <v>25</v>
      </c>
      <c r="C19" s="73"/>
      <c r="D19" s="73"/>
      <c r="E19" s="74"/>
      <c r="F19" s="38">
        <v>8923</v>
      </c>
      <c r="G19" s="35">
        <v>1</v>
      </c>
      <c r="H19" s="35">
        <f t="shared" si="1"/>
        <v>1.215</v>
      </c>
      <c r="I19" s="23">
        <v>48</v>
      </c>
      <c r="J19" s="29">
        <v>53.1</v>
      </c>
      <c r="K19" s="29">
        <f t="shared" si="2"/>
        <v>0</v>
      </c>
      <c r="L19" s="29">
        <f t="shared" si="3"/>
        <v>0</v>
      </c>
      <c r="M19" s="29">
        <f t="shared" si="4"/>
        <v>0</v>
      </c>
      <c r="N19" s="75">
        <v>24</v>
      </c>
      <c r="O19" s="75">
        <v>1</v>
      </c>
      <c r="P19" s="75">
        <v>1</v>
      </c>
      <c r="Q19" s="38">
        <v>10153</v>
      </c>
      <c r="R19" s="58">
        <v>1</v>
      </c>
      <c r="S19" s="35">
        <v>1.215</v>
      </c>
      <c r="T19" s="97">
        <v>48</v>
      </c>
      <c r="U19" s="29">
        <v>53.1</v>
      </c>
      <c r="V19" s="42">
        <f>ROUND((N19*Q19*R19/1000-N19*U19/100*T19*247/1000)*S19,1)+0.5</f>
        <v>113</v>
      </c>
      <c r="W19" s="42">
        <f t="shared" si="5"/>
        <v>12.3</v>
      </c>
      <c r="X19" s="42">
        <f t="shared" si="6"/>
        <v>12.3</v>
      </c>
      <c r="Y19" s="42">
        <f t="shared" si="0"/>
        <v>137.6</v>
      </c>
      <c r="Z19" s="24">
        <f>Y19-'[1]2020'!$AJ15</f>
        <v>0</v>
      </c>
    </row>
    <row r="20" spans="1:26" s="24" customFormat="1" ht="15.75">
      <c r="A20" s="30">
        <v>13</v>
      </c>
      <c r="B20" s="22" t="s">
        <v>24</v>
      </c>
      <c r="C20" s="77"/>
      <c r="D20" s="77"/>
      <c r="E20" s="78"/>
      <c r="F20" s="38">
        <v>8923</v>
      </c>
      <c r="G20" s="35">
        <v>1</v>
      </c>
      <c r="H20" s="35">
        <f t="shared" si="1"/>
        <v>1.255</v>
      </c>
      <c r="I20" s="23">
        <v>48</v>
      </c>
      <c r="J20" s="29">
        <v>53.1</v>
      </c>
      <c r="K20" s="29">
        <f t="shared" si="2"/>
        <v>0</v>
      </c>
      <c r="L20" s="29">
        <f t="shared" si="3"/>
        <v>0</v>
      </c>
      <c r="M20" s="29">
        <f t="shared" si="4"/>
        <v>0</v>
      </c>
      <c r="N20" s="75">
        <v>23</v>
      </c>
      <c r="O20" s="75"/>
      <c r="P20" s="75">
        <v>2</v>
      </c>
      <c r="Q20" s="38">
        <v>10153</v>
      </c>
      <c r="R20" s="58">
        <v>1</v>
      </c>
      <c r="S20" s="35">
        <v>1.255</v>
      </c>
      <c r="T20" s="97">
        <v>48</v>
      </c>
      <c r="U20" s="29">
        <v>53.1</v>
      </c>
      <c r="V20" s="42">
        <f>ROUND((N20*Q20*R20/1000-N20*U20/100*T20*247/1000)*S20,1)+0.8</f>
        <v>112.1</v>
      </c>
      <c r="W20" s="42">
        <f t="shared" si="5"/>
        <v>0</v>
      </c>
      <c r="X20" s="42">
        <f t="shared" si="6"/>
        <v>25.5</v>
      </c>
      <c r="Y20" s="42">
        <f t="shared" si="0"/>
        <v>137.6</v>
      </c>
      <c r="Z20" s="24">
        <f>Y20-'[1]2020'!$AJ16</f>
        <v>0</v>
      </c>
    </row>
    <row r="21" spans="1:26" s="24" customFormat="1" ht="15.75">
      <c r="A21" s="31">
        <v>14</v>
      </c>
      <c r="B21" s="22" t="s">
        <v>12</v>
      </c>
      <c r="C21" s="73"/>
      <c r="D21" s="73"/>
      <c r="E21" s="74"/>
      <c r="F21" s="38">
        <v>8923</v>
      </c>
      <c r="G21" s="35">
        <v>1</v>
      </c>
      <c r="H21" s="35">
        <f t="shared" si="1"/>
        <v>0.82</v>
      </c>
      <c r="I21" s="23">
        <v>48</v>
      </c>
      <c r="J21" s="29">
        <v>53.1</v>
      </c>
      <c r="K21" s="29">
        <f t="shared" si="2"/>
        <v>0</v>
      </c>
      <c r="L21" s="29">
        <f t="shared" si="3"/>
        <v>0</v>
      </c>
      <c r="M21" s="29">
        <f t="shared" si="4"/>
        <v>0</v>
      </c>
      <c r="N21" s="75">
        <v>82</v>
      </c>
      <c r="O21" s="75">
        <v>4</v>
      </c>
      <c r="P21" s="75"/>
      <c r="Q21" s="38">
        <v>10153</v>
      </c>
      <c r="R21" s="58">
        <v>1</v>
      </c>
      <c r="S21" s="35">
        <v>0.82</v>
      </c>
      <c r="T21" s="97">
        <v>48</v>
      </c>
      <c r="U21" s="29">
        <v>53.1</v>
      </c>
      <c r="V21" s="42">
        <f>ROUND((N21*Q21*R21/1000-N21*U21/100*T21*247/1000)*S21,1)+0.6</f>
        <v>260</v>
      </c>
      <c r="W21" s="42">
        <f t="shared" si="5"/>
        <v>33.3</v>
      </c>
      <c r="X21" s="42">
        <f t="shared" si="6"/>
        <v>0</v>
      </c>
      <c r="Y21" s="42">
        <f t="shared" si="0"/>
        <v>293.3</v>
      </c>
      <c r="Z21" s="24">
        <f>Y21-'[1]2020'!$AJ17</f>
        <v>0</v>
      </c>
    </row>
    <row r="22" spans="1:26" s="24" customFormat="1" ht="15.75">
      <c r="A22" s="30">
        <v>15</v>
      </c>
      <c r="B22" s="22" t="s">
        <v>13</v>
      </c>
      <c r="C22" s="73"/>
      <c r="D22" s="73"/>
      <c r="E22" s="74"/>
      <c r="F22" s="38">
        <v>8923</v>
      </c>
      <c r="G22" s="35">
        <v>1</v>
      </c>
      <c r="H22" s="35">
        <f t="shared" si="1"/>
        <v>0.97</v>
      </c>
      <c r="I22" s="23">
        <v>48</v>
      </c>
      <c r="J22" s="29">
        <v>53.1</v>
      </c>
      <c r="K22" s="29">
        <f t="shared" si="2"/>
        <v>0</v>
      </c>
      <c r="L22" s="29">
        <f t="shared" si="3"/>
        <v>0</v>
      </c>
      <c r="M22" s="29">
        <f t="shared" si="4"/>
        <v>0</v>
      </c>
      <c r="N22" s="75">
        <v>45</v>
      </c>
      <c r="O22" s="75"/>
      <c r="P22" s="75"/>
      <c r="Q22" s="38">
        <v>10153</v>
      </c>
      <c r="R22" s="58">
        <v>1</v>
      </c>
      <c r="S22" s="35">
        <v>0.97</v>
      </c>
      <c r="T22" s="97">
        <v>48</v>
      </c>
      <c r="U22" s="29">
        <v>53.1</v>
      </c>
      <c r="V22" s="42">
        <f>ROUND((N22*Q22*R22/1000-N22*U22/100*T22*247/1000)*S22,1)-0.7</f>
        <v>167.70000000000002</v>
      </c>
      <c r="W22" s="42">
        <f t="shared" si="5"/>
        <v>0</v>
      </c>
      <c r="X22" s="42">
        <f t="shared" si="6"/>
        <v>0</v>
      </c>
      <c r="Y22" s="42">
        <f t="shared" si="0"/>
        <v>167.70000000000002</v>
      </c>
      <c r="Z22" s="24">
        <f>Y22-'[1]2020'!$AJ18</f>
        <v>0</v>
      </c>
    </row>
    <row r="23" spans="1:26" s="24" customFormat="1" ht="15.75">
      <c r="A23" s="31">
        <v>16</v>
      </c>
      <c r="B23" s="22" t="s">
        <v>14</v>
      </c>
      <c r="C23" s="73"/>
      <c r="D23" s="73"/>
      <c r="E23" s="74"/>
      <c r="F23" s="38">
        <v>8923</v>
      </c>
      <c r="G23" s="35">
        <v>1</v>
      </c>
      <c r="H23" s="35">
        <f t="shared" si="1"/>
        <v>0.865</v>
      </c>
      <c r="I23" s="23">
        <v>48</v>
      </c>
      <c r="J23" s="29">
        <v>53.1</v>
      </c>
      <c r="K23" s="29">
        <f t="shared" si="2"/>
        <v>0</v>
      </c>
      <c r="L23" s="29">
        <f t="shared" si="3"/>
        <v>0</v>
      </c>
      <c r="M23" s="29">
        <f t="shared" si="4"/>
        <v>0</v>
      </c>
      <c r="N23" s="75">
        <v>50</v>
      </c>
      <c r="O23" s="75"/>
      <c r="P23" s="75"/>
      <c r="Q23" s="38">
        <v>10153</v>
      </c>
      <c r="R23" s="58">
        <v>1</v>
      </c>
      <c r="S23" s="35">
        <v>0.865</v>
      </c>
      <c r="T23" s="97">
        <v>48</v>
      </c>
      <c r="U23" s="29">
        <v>53.1</v>
      </c>
      <c r="V23" s="42">
        <f>ROUND((N23*Q23*R23/1000-N23*U23/100*T23*247/1000)*S23,1)-0.7</f>
        <v>166.10000000000002</v>
      </c>
      <c r="W23" s="42">
        <f t="shared" si="5"/>
        <v>0</v>
      </c>
      <c r="X23" s="42">
        <f t="shared" si="6"/>
        <v>0</v>
      </c>
      <c r="Y23" s="42">
        <f t="shared" si="0"/>
        <v>166.10000000000002</v>
      </c>
      <c r="Z23" s="24">
        <f>Y23-'[1]2020'!$AJ19</f>
        <v>0</v>
      </c>
    </row>
    <row r="24" spans="1:26" s="26" customFormat="1" ht="16.5" customHeight="1">
      <c r="A24" s="32">
        <v>17</v>
      </c>
      <c r="B24" s="25" t="s">
        <v>15</v>
      </c>
      <c r="C24" s="82"/>
      <c r="D24" s="82"/>
      <c r="E24" s="83"/>
      <c r="F24" s="38">
        <v>8923</v>
      </c>
      <c r="G24" s="35">
        <v>1</v>
      </c>
      <c r="H24" s="35">
        <f t="shared" si="1"/>
        <v>0.781</v>
      </c>
      <c r="I24" s="23">
        <v>48</v>
      </c>
      <c r="J24" s="29">
        <v>53.1</v>
      </c>
      <c r="K24" s="29">
        <f t="shared" si="2"/>
        <v>0</v>
      </c>
      <c r="L24" s="29">
        <f t="shared" si="3"/>
        <v>0</v>
      </c>
      <c r="M24" s="29">
        <f t="shared" si="4"/>
        <v>0</v>
      </c>
      <c r="N24" s="75">
        <v>63</v>
      </c>
      <c r="O24" s="75"/>
      <c r="P24" s="75">
        <v>1</v>
      </c>
      <c r="Q24" s="38">
        <v>10153</v>
      </c>
      <c r="R24" s="58">
        <v>1</v>
      </c>
      <c r="S24" s="35">
        <v>0.781</v>
      </c>
      <c r="T24" s="97">
        <v>48</v>
      </c>
      <c r="U24" s="29">
        <v>53.1</v>
      </c>
      <c r="V24" s="42">
        <f>ROUND((N24*Q24*R24/1000-N24*U24/100*T24*247/1000)*S24,1)+0.7</f>
        <v>190.5</v>
      </c>
      <c r="W24" s="42">
        <f t="shared" si="5"/>
        <v>0</v>
      </c>
      <c r="X24" s="42">
        <f t="shared" si="6"/>
        <v>7.9</v>
      </c>
      <c r="Y24" s="42">
        <f t="shared" si="0"/>
        <v>198.4</v>
      </c>
      <c r="Z24" s="24">
        <f>Y24-'[1]2020'!$AJ20</f>
        <v>0</v>
      </c>
    </row>
    <row r="25" spans="1:26" s="24" customFormat="1" ht="19.5" customHeight="1">
      <c r="A25" s="31">
        <v>18</v>
      </c>
      <c r="B25" s="22" t="s">
        <v>26</v>
      </c>
      <c r="C25" s="84"/>
      <c r="D25" s="84"/>
      <c r="E25" s="85"/>
      <c r="F25" s="38">
        <v>8923</v>
      </c>
      <c r="G25" s="35">
        <v>1</v>
      </c>
      <c r="H25" s="35">
        <f t="shared" si="1"/>
        <v>0.8</v>
      </c>
      <c r="I25" s="23">
        <v>48</v>
      </c>
      <c r="J25" s="29">
        <v>53.1</v>
      </c>
      <c r="K25" s="29">
        <f t="shared" si="2"/>
        <v>0</v>
      </c>
      <c r="L25" s="29">
        <f t="shared" si="3"/>
        <v>0</v>
      </c>
      <c r="M25" s="29">
        <f t="shared" si="4"/>
        <v>0</v>
      </c>
      <c r="N25" s="75">
        <v>18</v>
      </c>
      <c r="O25" s="75"/>
      <c r="P25" s="75"/>
      <c r="Q25" s="38">
        <v>10153</v>
      </c>
      <c r="R25" s="58">
        <v>1</v>
      </c>
      <c r="S25" s="35">
        <v>0.8</v>
      </c>
      <c r="T25" s="97">
        <v>48</v>
      </c>
      <c r="U25" s="29">
        <v>53.1</v>
      </c>
      <c r="V25" s="42">
        <f>ROUND((N25*Q25*R25/1000-N25*U25/100*T25*247/1000)*S25,1)+0.7</f>
        <v>56.2</v>
      </c>
      <c r="W25" s="42">
        <f t="shared" si="5"/>
        <v>0</v>
      </c>
      <c r="X25" s="42">
        <f t="shared" si="6"/>
        <v>0</v>
      </c>
      <c r="Y25" s="42">
        <f t="shared" si="0"/>
        <v>56.2</v>
      </c>
      <c r="Z25" s="24">
        <f>Y25-'[1]2020'!$AJ21</f>
        <v>0</v>
      </c>
    </row>
    <row r="26" spans="1:26" s="24" customFormat="1" ht="19.5" customHeight="1">
      <c r="A26" s="30">
        <v>19</v>
      </c>
      <c r="B26" s="22" t="s">
        <v>27</v>
      </c>
      <c r="C26" s="84"/>
      <c r="D26" s="84"/>
      <c r="E26" s="85"/>
      <c r="F26" s="38">
        <v>8923</v>
      </c>
      <c r="G26" s="35">
        <v>1</v>
      </c>
      <c r="H26" s="35">
        <f t="shared" si="1"/>
        <v>1.33</v>
      </c>
      <c r="I26" s="23">
        <v>48</v>
      </c>
      <c r="J26" s="29">
        <v>53.1</v>
      </c>
      <c r="K26" s="29">
        <f t="shared" si="2"/>
        <v>0</v>
      </c>
      <c r="L26" s="29">
        <f t="shared" si="3"/>
        <v>0</v>
      </c>
      <c r="M26" s="29">
        <f t="shared" si="4"/>
        <v>0</v>
      </c>
      <c r="N26" s="75">
        <v>8</v>
      </c>
      <c r="O26" s="75"/>
      <c r="P26" s="75"/>
      <c r="Q26" s="38">
        <v>10153</v>
      </c>
      <c r="R26" s="58">
        <v>1</v>
      </c>
      <c r="S26" s="35">
        <v>1.33</v>
      </c>
      <c r="T26" s="97">
        <v>48</v>
      </c>
      <c r="U26" s="29">
        <v>53.1</v>
      </c>
      <c r="V26" s="42">
        <f>ROUND((N26*Q26*R26/1000-N26*U26/100*T26*247/1000)*S26,1)+0.5</f>
        <v>41.5</v>
      </c>
      <c r="W26" s="42">
        <f t="shared" si="5"/>
        <v>0</v>
      </c>
      <c r="X26" s="42">
        <f t="shared" si="6"/>
        <v>0</v>
      </c>
      <c r="Y26" s="42">
        <f t="shared" si="0"/>
        <v>41.5</v>
      </c>
      <c r="Z26" s="24">
        <f>Y26-'[1]2020'!$AJ22</f>
        <v>0</v>
      </c>
    </row>
    <row r="27" spans="1:26" s="24" customFormat="1" ht="18" customHeight="1">
      <c r="A27" s="31">
        <v>20</v>
      </c>
      <c r="B27" s="22" t="s">
        <v>28</v>
      </c>
      <c r="C27" s="84"/>
      <c r="D27" s="84"/>
      <c r="E27" s="85"/>
      <c r="F27" s="38">
        <v>8923</v>
      </c>
      <c r="G27" s="35">
        <v>1</v>
      </c>
      <c r="H27" s="35">
        <f t="shared" si="1"/>
        <v>1.199</v>
      </c>
      <c r="I27" s="23">
        <v>48</v>
      </c>
      <c r="J27" s="29">
        <v>53.1</v>
      </c>
      <c r="K27" s="29">
        <f t="shared" si="2"/>
        <v>0</v>
      </c>
      <c r="L27" s="29">
        <f t="shared" si="3"/>
        <v>0</v>
      </c>
      <c r="M27" s="29">
        <f t="shared" si="4"/>
        <v>0</v>
      </c>
      <c r="N27" s="75">
        <v>12</v>
      </c>
      <c r="O27" s="75"/>
      <c r="P27" s="75"/>
      <c r="Q27" s="38">
        <v>10153</v>
      </c>
      <c r="R27" s="58">
        <v>1</v>
      </c>
      <c r="S27" s="35">
        <v>1.199</v>
      </c>
      <c r="T27" s="97">
        <v>48</v>
      </c>
      <c r="U27" s="29">
        <v>53.1</v>
      </c>
      <c r="V27" s="42">
        <f>ROUND((N27*Q27*R27/1000-N27*U27/100*T27*247/1000)*S27,1)+0.7</f>
        <v>56.2</v>
      </c>
      <c r="W27" s="42">
        <f t="shared" si="5"/>
        <v>0</v>
      </c>
      <c r="X27" s="42">
        <f t="shared" si="6"/>
        <v>0</v>
      </c>
      <c r="Y27" s="42">
        <f t="shared" si="0"/>
        <v>56.2</v>
      </c>
      <c r="Z27" s="24">
        <f>Y27-'[1]2020'!$AJ23</f>
        <v>0</v>
      </c>
    </row>
    <row r="28" spans="1:26" s="24" customFormat="1" ht="18.75" customHeight="1">
      <c r="A28" s="30">
        <v>21</v>
      </c>
      <c r="B28" s="22" t="s">
        <v>29</v>
      </c>
      <c r="C28" s="84"/>
      <c r="D28" s="84"/>
      <c r="E28" s="85"/>
      <c r="F28" s="38">
        <v>8923</v>
      </c>
      <c r="G28" s="35">
        <v>1</v>
      </c>
      <c r="H28" s="35">
        <f t="shared" si="1"/>
        <v>1.165</v>
      </c>
      <c r="I28" s="23">
        <v>48</v>
      </c>
      <c r="J28" s="29">
        <v>53.1</v>
      </c>
      <c r="K28" s="29">
        <f t="shared" si="2"/>
        <v>0</v>
      </c>
      <c r="L28" s="29">
        <f t="shared" si="3"/>
        <v>0</v>
      </c>
      <c r="M28" s="29">
        <f t="shared" si="4"/>
        <v>0</v>
      </c>
      <c r="N28" s="75">
        <v>26</v>
      </c>
      <c r="O28" s="75"/>
      <c r="P28" s="75">
        <v>1</v>
      </c>
      <c r="Q28" s="38">
        <v>10153</v>
      </c>
      <c r="R28" s="58">
        <v>1</v>
      </c>
      <c r="S28" s="35">
        <v>1.165</v>
      </c>
      <c r="T28" s="97">
        <v>48</v>
      </c>
      <c r="U28" s="29">
        <v>53.1</v>
      </c>
      <c r="V28" s="42">
        <f>ROUND((N28*Q28*R28/1000-N28*U28/100*T28*247/1000)*S28,1)+0.6</f>
        <v>117.39999999999999</v>
      </c>
      <c r="W28" s="42">
        <f t="shared" si="5"/>
        <v>0</v>
      </c>
      <c r="X28" s="42">
        <f t="shared" si="6"/>
        <v>11.8</v>
      </c>
      <c r="Y28" s="42">
        <f t="shared" si="0"/>
        <v>129.2</v>
      </c>
      <c r="Z28" s="24">
        <f>Y28-'[1]2020'!$AJ24</f>
        <v>0</v>
      </c>
    </row>
    <row r="29" spans="1:26" s="24" customFormat="1" ht="15.75">
      <c r="A29" s="31">
        <v>22</v>
      </c>
      <c r="B29" s="22" t="s">
        <v>16</v>
      </c>
      <c r="C29" s="70"/>
      <c r="D29" s="70"/>
      <c r="E29" s="71"/>
      <c r="F29" s="38">
        <v>8923</v>
      </c>
      <c r="G29" s="35">
        <v>1</v>
      </c>
      <c r="H29" s="35">
        <f t="shared" si="1"/>
        <v>0.99</v>
      </c>
      <c r="I29" s="23">
        <v>48</v>
      </c>
      <c r="J29" s="29">
        <v>53.1</v>
      </c>
      <c r="K29" s="29">
        <f t="shared" si="2"/>
        <v>0</v>
      </c>
      <c r="L29" s="29">
        <f t="shared" si="3"/>
        <v>0</v>
      </c>
      <c r="M29" s="29">
        <f t="shared" si="4"/>
        <v>0</v>
      </c>
      <c r="N29" s="72">
        <v>92</v>
      </c>
      <c r="O29" s="72">
        <v>3</v>
      </c>
      <c r="P29" s="72"/>
      <c r="Q29" s="38">
        <v>10153</v>
      </c>
      <c r="R29" s="58">
        <v>1</v>
      </c>
      <c r="S29" s="35">
        <v>0.99</v>
      </c>
      <c r="T29" s="97">
        <v>48</v>
      </c>
      <c r="U29" s="29">
        <v>53.1</v>
      </c>
      <c r="V29" s="42">
        <f>ROUND((N29*Q29*R29/1000-N29*U29/100*T29*247/1000)*S29,1)+0.3</f>
        <v>351.6</v>
      </c>
      <c r="W29" s="42">
        <f t="shared" si="5"/>
        <v>30.2</v>
      </c>
      <c r="X29" s="42">
        <f t="shared" si="6"/>
        <v>0</v>
      </c>
      <c r="Y29" s="42">
        <f t="shared" si="0"/>
        <v>381.8</v>
      </c>
      <c r="Z29" s="24">
        <f>Y29-'[1]2020'!$AJ25</f>
        <v>0</v>
      </c>
    </row>
    <row r="30" spans="1:26" s="24" customFormat="1" ht="15.75">
      <c r="A30" s="30">
        <v>23</v>
      </c>
      <c r="B30" s="22" t="s">
        <v>17</v>
      </c>
      <c r="C30" s="73"/>
      <c r="D30" s="73"/>
      <c r="E30" s="74"/>
      <c r="F30" s="38">
        <v>8923</v>
      </c>
      <c r="G30" s="35">
        <v>1</v>
      </c>
      <c r="H30" s="35">
        <f t="shared" si="1"/>
        <v>0.868</v>
      </c>
      <c r="I30" s="23">
        <v>48</v>
      </c>
      <c r="J30" s="29">
        <v>53.1</v>
      </c>
      <c r="K30" s="29">
        <f t="shared" si="2"/>
        <v>0</v>
      </c>
      <c r="L30" s="29">
        <f t="shared" si="3"/>
        <v>0</v>
      </c>
      <c r="M30" s="29">
        <f t="shared" si="4"/>
        <v>0</v>
      </c>
      <c r="N30" s="75">
        <v>90</v>
      </c>
      <c r="O30" s="75">
        <v>1</v>
      </c>
      <c r="P30" s="75"/>
      <c r="Q30" s="38">
        <v>10153</v>
      </c>
      <c r="R30" s="58">
        <v>1</v>
      </c>
      <c r="S30" s="35">
        <v>0.868</v>
      </c>
      <c r="T30" s="97">
        <v>48</v>
      </c>
      <c r="U30" s="29">
        <v>53.1</v>
      </c>
      <c r="V30" s="42">
        <f>ROUND((N30*Q30*R30/1000-N30*U30/100*T30*247/1000)*S30,1)-0.1</f>
        <v>301.2</v>
      </c>
      <c r="W30" s="42">
        <f t="shared" si="5"/>
        <v>8.8</v>
      </c>
      <c r="X30" s="42">
        <f t="shared" si="6"/>
        <v>0</v>
      </c>
      <c r="Y30" s="42">
        <f t="shared" si="0"/>
        <v>310</v>
      </c>
      <c r="Z30" s="24">
        <f>Y30-'[1]2020'!$AJ26</f>
        <v>0</v>
      </c>
    </row>
    <row r="31" spans="1:26" s="26" customFormat="1" ht="18" customHeight="1">
      <c r="A31" s="31">
        <v>24</v>
      </c>
      <c r="B31" s="25" t="s">
        <v>18</v>
      </c>
      <c r="C31" s="84">
        <v>21</v>
      </c>
      <c r="D31" s="73"/>
      <c r="E31" s="74"/>
      <c r="F31" s="38">
        <v>8923</v>
      </c>
      <c r="G31" s="35">
        <v>1</v>
      </c>
      <c r="H31" s="35">
        <f t="shared" si="1"/>
        <v>1.02</v>
      </c>
      <c r="I31" s="23">
        <v>48</v>
      </c>
      <c r="J31" s="29">
        <v>53.1</v>
      </c>
      <c r="K31" s="29">
        <f t="shared" si="2"/>
        <v>56.3</v>
      </c>
      <c r="L31" s="29">
        <f t="shared" si="3"/>
        <v>0</v>
      </c>
      <c r="M31" s="29">
        <f t="shared" si="4"/>
        <v>0</v>
      </c>
      <c r="N31" s="75">
        <v>93</v>
      </c>
      <c r="O31" s="75">
        <v>2</v>
      </c>
      <c r="P31" s="75">
        <v>1</v>
      </c>
      <c r="Q31" s="38">
        <v>10153</v>
      </c>
      <c r="R31" s="58">
        <v>1</v>
      </c>
      <c r="S31" s="35">
        <v>1.02</v>
      </c>
      <c r="T31" s="97">
        <v>48</v>
      </c>
      <c r="U31" s="29">
        <v>53.1</v>
      </c>
      <c r="V31" s="42">
        <f>ROUND((N31*Q31*R31/1000-N31*U31/100*T31*247/1000)*S31,1)+0.2</f>
        <v>366.09999999999997</v>
      </c>
      <c r="W31" s="42">
        <f t="shared" si="5"/>
        <v>20.7</v>
      </c>
      <c r="X31" s="42">
        <f t="shared" si="6"/>
        <v>10.4</v>
      </c>
      <c r="Y31" s="42">
        <f t="shared" si="0"/>
        <v>453.49999999999994</v>
      </c>
      <c r="Z31" s="24">
        <f>Y31-'[1]2020'!$AJ27</f>
        <v>0</v>
      </c>
    </row>
    <row r="32" spans="1:26" s="24" customFormat="1" ht="15.75">
      <c r="A32" s="30">
        <v>25</v>
      </c>
      <c r="B32" s="22" t="s">
        <v>19</v>
      </c>
      <c r="C32" s="73">
        <v>18</v>
      </c>
      <c r="D32" s="73"/>
      <c r="E32" s="74"/>
      <c r="F32" s="38">
        <v>8923</v>
      </c>
      <c r="G32" s="35">
        <v>1</v>
      </c>
      <c r="H32" s="35">
        <f t="shared" si="1"/>
        <v>0.724</v>
      </c>
      <c r="I32" s="23">
        <v>48</v>
      </c>
      <c r="J32" s="29">
        <v>53.1</v>
      </c>
      <c r="K32" s="29">
        <f t="shared" si="2"/>
        <v>34.2</v>
      </c>
      <c r="L32" s="29">
        <f t="shared" si="3"/>
        <v>0</v>
      </c>
      <c r="M32" s="29">
        <f t="shared" si="4"/>
        <v>0</v>
      </c>
      <c r="N32" s="75">
        <v>118</v>
      </c>
      <c r="O32" s="75">
        <v>1</v>
      </c>
      <c r="P32" s="75"/>
      <c r="Q32" s="38">
        <v>10153</v>
      </c>
      <c r="R32" s="58">
        <v>1</v>
      </c>
      <c r="S32" s="35">
        <v>0.724</v>
      </c>
      <c r="T32" s="97">
        <v>48</v>
      </c>
      <c r="U32" s="29">
        <v>53.1</v>
      </c>
      <c r="V32" s="42">
        <f>ROUND((N32*Q32*R32/1000-N32*U32/100*T32*247/1000)*S32,1)-0.7</f>
        <v>328.90000000000003</v>
      </c>
      <c r="W32" s="42">
        <f t="shared" si="5"/>
        <v>7.4</v>
      </c>
      <c r="X32" s="42">
        <f t="shared" si="6"/>
        <v>0</v>
      </c>
      <c r="Y32" s="42">
        <f t="shared" si="0"/>
        <v>370.5</v>
      </c>
      <c r="Z32" s="24">
        <f>Y32-'[1]2020'!$AJ28</f>
        <v>0</v>
      </c>
    </row>
    <row r="33" spans="1:26" s="24" customFormat="1" ht="15.75">
      <c r="A33" s="31">
        <v>26</v>
      </c>
      <c r="B33" s="22" t="s">
        <v>20</v>
      </c>
      <c r="C33" s="86">
        <v>24</v>
      </c>
      <c r="D33" s="86"/>
      <c r="E33" s="87"/>
      <c r="F33" s="38">
        <v>8923</v>
      </c>
      <c r="G33" s="35">
        <v>1</v>
      </c>
      <c r="H33" s="35">
        <f t="shared" si="1"/>
        <v>1.11</v>
      </c>
      <c r="I33" s="23">
        <v>48</v>
      </c>
      <c r="J33" s="29">
        <v>53.1</v>
      </c>
      <c r="K33" s="29">
        <f t="shared" si="2"/>
        <v>70</v>
      </c>
      <c r="L33" s="29">
        <f t="shared" si="3"/>
        <v>0</v>
      </c>
      <c r="M33" s="29">
        <f t="shared" si="4"/>
        <v>0</v>
      </c>
      <c r="N33" s="88">
        <v>109</v>
      </c>
      <c r="O33" s="88">
        <v>3</v>
      </c>
      <c r="P33" s="88"/>
      <c r="Q33" s="38">
        <v>10153</v>
      </c>
      <c r="R33" s="58">
        <v>1</v>
      </c>
      <c r="S33" s="35">
        <v>1.11</v>
      </c>
      <c r="T33" s="97">
        <v>48</v>
      </c>
      <c r="U33" s="29">
        <v>53.1</v>
      </c>
      <c r="V33" s="42">
        <f>ROUND((N33*Q33*R33/1000-N33*U33/100*T33*247/1000)*S33,1)+0.7</f>
        <v>467.4</v>
      </c>
      <c r="W33" s="42">
        <f t="shared" si="5"/>
        <v>33.8</v>
      </c>
      <c r="X33" s="42">
        <f t="shared" si="6"/>
        <v>0</v>
      </c>
      <c r="Y33" s="42">
        <f t="shared" si="0"/>
        <v>571.1999999999999</v>
      </c>
      <c r="Z33" s="24">
        <f>Y33-'[1]2020'!$AJ29</f>
        <v>0</v>
      </c>
    </row>
    <row r="34" spans="1:26" s="24" customFormat="1" ht="15.75">
      <c r="A34" s="30">
        <v>27</v>
      </c>
      <c r="B34" s="22" t="s">
        <v>30</v>
      </c>
      <c r="C34" s="73"/>
      <c r="D34" s="73"/>
      <c r="E34" s="74"/>
      <c r="F34" s="38">
        <v>8923</v>
      </c>
      <c r="G34" s="35">
        <v>1</v>
      </c>
      <c r="H34" s="35">
        <f t="shared" si="1"/>
        <v>0.875</v>
      </c>
      <c r="I34" s="23">
        <v>48</v>
      </c>
      <c r="J34" s="29">
        <v>53.1</v>
      </c>
      <c r="K34" s="29">
        <f t="shared" si="2"/>
        <v>0</v>
      </c>
      <c r="L34" s="29">
        <f t="shared" si="3"/>
        <v>0</v>
      </c>
      <c r="M34" s="29">
        <f t="shared" si="4"/>
        <v>0</v>
      </c>
      <c r="N34" s="75">
        <v>20</v>
      </c>
      <c r="O34" s="75"/>
      <c r="P34" s="75"/>
      <c r="Q34" s="38">
        <v>10153</v>
      </c>
      <c r="R34" s="58">
        <v>1</v>
      </c>
      <c r="S34" s="35">
        <v>0.875</v>
      </c>
      <c r="T34" s="97">
        <v>48</v>
      </c>
      <c r="U34" s="29">
        <v>53.1</v>
      </c>
      <c r="V34" s="42">
        <f>ROUND((N34*Q34*R34/1000-N34*U34/100*T34*247/1000)*S34,1)+0.8</f>
        <v>68.3</v>
      </c>
      <c r="W34" s="42">
        <f t="shared" si="5"/>
        <v>0</v>
      </c>
      <c r="X34" s="42">
        <f t="shared" si="6"/>
        <v>0</v>
      </c>
      <c r="Y34" s="42">
        <f t="shared" si="0"/>
        <v>68.3</v>
      </c>
      <c r="Z34" s="24">
        <f>Y34-'[1]2020'!$AJ30</f>
        <v>0</v>
      </c>
    </row>
    <row r="35" spans="1:26" s="24" customFormat="1" ht="15.75">
      <c r="A35" s="31">
        <v>28</v>
      </c>
      <c r="B35" s="22" t="s">
        <v>31</v>
      </c>
      <c r="C35" s="73"/>
      <c r="D35" s="73"/>
      <c r="E35" s="74"/>
      <c r="F35" s="38">
        <v>8923</v>
      </c>
      <c r="G35" s="35">
        <v>1</v>
      </c>
      <c r="H35" s="35">
        <f t="shared" si="1"/>
        <v>1.289</v>
      </c>
      <c r="I35" s="23">
        <v>48</v>
      </c>
      <c r="J35" s="29">
        <v>53.1</v>
      </c>
      <c r="K35" s="29">
        <f t="shared" si="2"/>
        <v>0</v>
      </c>
      <c r="L35" s="29">
        <f t="shared" si="3"/>
        <v>0</v>
      </c>
      <c r="M35" s="29">
        <f t="shared" si="4"/>
        <v>0</v>
      </c>
      <c r="N35" s="75">
        <v>18</v>
      </c>
      <c r="O35" s="75"/>
      <c r="P35" s="75"/>
      <c r="Q35" s="38">
        <v>10153</v>
      </c>
      <c r="R35" s="58">
        <v>1</v>
      </c>
      <c r="S35" s="35">
        <v>1.289</v>
      </c>
      <c r="T35" s="97">
        <v>48</v>
      </c>
      <c r="U35" s="29">
        <v>53.1</v>
      </c>
      <c r="V35" s="42">
        <f>ROUND((N35*Q35*R35/1000-N35*U35/100*T35*247/1000)*S35,1)+0.8</f>
        <v>90.3</v>
      </c>
      <c r="W35" s="42">
        <f t="shared" si="5"/>
        <v>0</v>
      </c>
      <c r="X35" s="42">
        <f t="shared" si="6"/>
        <v>0</v>
      </c>
      <c r="Y35" s="42">
        <f t="shared" si="0"/>
        <v>90.3</v>
      </c>
      <c r="Z35" s="24">
        <f>Y35-'[1]2020'!$AJ31</f>
        <v>0</v>
      </c>
    </row>
    <row r="36" spans="1:26" s="24" customFormat="1" ht="15.75">
      <c r="A36" s="30">
        <v>29</v>
      </c>
      <c r="B36" s="22" t="s">
        <v>21</v>
      </c>
      <c r="C36" s="73"/>
      <c r="D36" s="73"/>
      <c r="E36" s="74"/>
      <c r="F36" s="38">
        <v>8923</v>
      </c>
      <c r="G36" s="35">
        <v>1</v>
      </c>
      <c r="H36" s="35">
        <f t="shared" si="1"/>
        <v>0.715</v>
      </c>
      <c r="I36" s="23">
        <v>48</v>
      </c>
      <c r="J36" s="29">
        <v>53.1</v>
      </c>
      <c r="K36" s="29">
        <f t="shared" si="2"/>
        <v>0</v>
      </c>
      <c r="L36" s="29">
        <f t="shared" si="3"/>
        <v>0</v>
      </c>
      <c r="M36" s="29">
        <f t="shared" si="4"/>
        <v>0</v>
      </c>
      <c r="N36" s="75">
        <v>62</v>
      </c>
      <c r="O36" s="75"/>
      <c r="P36" s="75"/>
      <c r="Q36" s="38">
        <v>10153</v>
      </c>
      <c r="R36" s="58">
        <v>1</v>
      </c>
      <c r="S36" s="35">
        <v>0.715</v>
      </c>
      <c r="T36" s="97">
        <v>48</v>
      </c>
      <c r="U36" s="29">
        <v>53.1</v>
      </c>
      <c r="V36" s="42">
        <f>ROUND((N36*Q36*R36/1000-N36*U36/100*T36*247/1000)*S36,1)+0.1</f>
        <v>171.1</v>
      </c>
      <c r="W36" s="42">
        <f t="shared" si="5"/>
        <v>0</v>
      </c>
      <c r="X36" s="42">
        <f t="shared" si="6"/>
        <v>0</v>
      </c>
      <c r="Y36" s="42">
        <f t="shared" si="0"/>
        <v>171.1</v>
      </c>
      <c r="Z36" s="24">
        <f>Y36-'[1]2020'!$AJ32</f>
        <v>0</v>
      </c>
    </row>
    <row r="37" spans="1:26" s="24" customFormat="1" ht="15.75">
      <c r="A37" s="31">
        <v>30</v>
      </c>
      <c r="B37" s="22" t="s">
        <v>32</v>
      </c>
      <c r="C37" s="77"/>
      <c r="D37" s="77"/>
      <c r="E37" s="78"/>
      <c r="F37" s="38">
        <v>8923</v>
      </c>
      <c r="G37" s="35">
        <v>1</v>
      </c>
      <c r="H37" s="35">
        <f t="shared" si="1"/>
        <v>1.385</v>
      </c>
      <c r="I37" s="23">
        <v>48</v>
      </c>
      <c r="J37" s="29">
        <v>53.1</v>
      </c>
      <c r="K37" s="29">
        <f t="shared" si="2"/>
        <v>0</v>
      </c>
      <c r="L37" s="29">
        <f t="shared" si="3"/>
        <v>0</v>
      </c>
      <c r="M37" s="29">
        <f t="shared" si="4"/>
        <v>0</v>
      </c>
      <c r="N37" s="75">
        <v>12</v>
      </c>
      <c r="O37" s="75"/>
      <c r="P37" s="75"/>
      <c r="Q37" s="38">
        <v>10153</v>
      </c>
      <c r="R37" s="58">
        <v>1</v>
      </c>
      <c r="S37" s="35">
        <v>1.385</v>
      </c>
      <c r="T37" s="97">
        <v>48</v>
      </c>
      <c r="U37" s="29">
        <v>53.1</v>
      </c>
      <c r="V37" s="42">
        <f>ROUND((N37*Q37*R37/1000-N37*U37/100*T37*247/1000)*S37,1)-0.6</f>
        <v>63.49999999999999</v>
      </c>
      <c r="W37" s="42">
        <f t="shared" si="5"/>
        <v>0</v>
      </c>
      <c r="X37" s="42">
        <f t="shared" si="6"/>
        <v>0</v>
      </c>
      <c r="Y37" s="42">
        <f t="shared" si="0"/>
        <v>63.49999999999999</v>
      </c>
      <c r="Z37" s="24">
        <f>Y37-'[1]2020'!$AJ33</f>
        <v>0</v>
      </c>
    </row>
    <row r="38" spans="1:26" s="24" customFormat="1" ht="17.25" customHeight="1">
      <c r="A38" s="30">
        <v>31</v>
      </c>
      <c r="B38" s="22" t="s">
        <v>33</v>
      </c>
      <c r="C38" s="77"/>
      <c r="D38" s="77"/>
      <c r="E38" s="78"/>
      <c r="F38" s="38">
        <v>8923</v>
      </c>
      <c r="G38" s="35">
        <v>1</v>
      </c>
      <c r="H38" s="35">
        <f t="shared" si="1"/>
        <v>1.255</v>
      </c>
      <c r="I38" s="23">
        <v>48</v>
      </c>
      <c r="J38" s="29">
        <v>53.1</v>
      </c>
      <c r="K38" s="29">
        <f t="shared" si="2"/>
        <v>0</v>
      </c>
      <c r="L38" s="29">
        <f t="shared" si="3"/>
        <v>0</v>
      </c>
      <c r="M38" s="29">
        <f t="shared" si="4"/>
        <v>0</v>
      </c>
      <c r="N38" s="75">
        <v>28</v>
      </c>
      <c r="O38" s="75">
        <v>3</v>
      </c>
      <c r="P38" s="75"/>
      <c r="Q38" s="38">
        <v>10153</v>
      </c>
      <c r="R38" s="58">
        <v>1</v>
      </c>
      <c r="S38" s="35">
        <v>1.255</v>
      </c>
      <c r="T38" s="97">
        <v>48</v>
      </c>
      <c r="U38" s="29">
        <v>53.1</v>
      </c>
      <c r="V38" s="42">
        <f>ROUND((N38*Q38*R38/1000-N38*U38/100*T38*247/1000)*S38,1)-0.2</f>
        <v>135.4</v>
      </c>
      <c r="W38" s="42">
        <f t="shared" si="5"/>
        <v>38.2</v>
      </c>
      <c r="X38" s="42">
        <f t="shared" si="6"/>
        <v>0</v>
      </c>
      <c r="Y38" s="42">
        <f t="shared" si="0"/>
        <v>173.60000000000002</v>
      </c>
      <c r="Z38" s="24">
        <f>Y38-'[1]2020'!$AJ34</f>
        <v>0</v>
      </c>
    </row>
    <row r="39" spans="1:26" s="24" customFormat="1" ht="15.75">
      <c r="A39" s="31">
        <v>32</v>
      </c>
      <c r="B39" s="22" t="s">
        <v>34</v>
      </c>
      <c r="C39" s="73"/>
      <c r="D39" s="73"/>
      <c r="E39" s="74"/>
      <c r="F39" s="38">
        <v>8923</v>
      </c>
      <c r="G39" s="35">
        <v>1</v>
      </c>
      <c r="H39" s="35">
        <f t="shared" si="1"/>
        <v>1.458</v>
      </c>
      <c r="I39" s="23">
        <v>48</v>
      </c>
      <c r="J39" s="29">
        <v>53.1</v>
      </c>
      <c r="K39" s="29">
        <f t="shared" si="2"/>
        <v>0</v>
      </c>
      <c r="L39" s="29">
        <f t="shared" si="3"/>
        <v>0</v>
      </c>
      <c r="M39" s="29">
        <f t="shared" si="4"/>
        <v>0</v>
      </c>
      <c r="N39" s="75">
        <v>26</v>
      </c>
      <c r="O39" s="75"/>
      <c r="P39" s="75"/>
      <c r="Q39" s="38">
        <v>10153</v>
      </c>
      <c r="R39" s="58">
        <v>1</v>
      </c>
      <c r="S39" s="35">
        <v>1.458</v>
      </c>
      <c r="T39" s="97">
        <v>48</v>
      </c>
      <c r="U39" s="29">
        <v>53.1</v>
      </c>
      <c r="V39" s="42">
        <f>ROUND((N39*Q39*R39/1000-N39*U39/100*T39*247/1000)*S39,1)+0.2</f>
        <v>146.39999999999998</v>
      </c>
      <c r="W39" s="42">
        <f t="shared" si="5"/>
        <v>0</v>
      </c>
      <c r="X39" s="42">
        <f t="shared" si="6"/>
        <v>0</v>
      </c>
      <c r="Y39" s="42">
        <f t="shared" si="0"/>
        <v>146.39999999999998</v>
      </c>
      <c r="Z39" s="24">
        <f>Y39-'[1]2020'!$AJ35</f>
        <v>0</v>
      </c>
    </row>
    <row r="40" spans="1:26" s="24" customFormat="1" ht="15.75">
      <c r="A40" s="30">
        <v>33</v>
      </c>
      <c r="B40" s="22" t="s">
        <v>35</v>
      </c>
      <c r="C40" s="73"/>
      <c r="D40" s="73"/>
      <c r="E40" s="74"/>
      <c r="F40" s="38">
        <v>8923</v>
      </c>
      <c r="G40" s="35">
        <v>1</v>
      </c>
      <c r="H40" s="35">
        <f t="shared" si="1"/>
        <v>1.14</v>
      </c>
      <c r="I40" s="23">
        <v>48</v>
      </c>
      <c r="J40" s="29">
        <v>53.1</v>
      </c>
      <c r="K40" s="29">
        <f t="shared" si="2"/>
        <v>0</v>
      </c>
      <c r="L40" s="29">
        <f t="shared" si="3"/>
        <v>0</v>
      </c>
      <c r="M40" s="29">
        <f t="shared" si="4"/>
        <v>0</v>
      </c>
      <c r="N40" s="75">
        <v>32</v>
      </c>
      <c r="O40" s="75"/>
      <c r="P40" s="75">
        <v>2</v>
      </c>
      <c r="Q40" s="38">
        <v>10153</v>
      </c>
      <c r="R40" s="58">
        <v>1</v>
      </c>
      <c r="S40" s="35">
        <v>1.14</v>
      </c>
      <c r="T40" s="97">
        <v>48</v>
      </c>
      <c r="U40" s="29">
        <v>53.1</v>
      </c>
      <c r="V40" s="42">
        <f>ROUND((N40*Q40*R40/1000-N40*U40/100*T40*247/1000)*S40,1)-0.1</f>
        <v>140.6</v>
      </c>
      <c r="W40" s="42">
        <f t="shared" si="5"/>
        <v>0</v>
      </c>
      <c r="X40" s="42">
        <f t="shared" si="6"/>
        <v>23.1</v>
      </c>
      <c r="Y40" s="42">
        <f t="shared" si="0"/>
        <v>163.7</v>
      </c>
      <c r="Z40" s="24">
        <f>Y40-'[1]2020'!$AJ36</f>
        <v>0</v>
      </c>
    </row>
    <row r="41" spans="1:26" s="26" customFormat="1" ht="16.5" customHeight="1">
      <c r="A41" s="33">
        <v>34</v>
      </c>
      <c r="B41" s="25" t="s">
        <v>36</v>
      </c>
      <c r="C41" s="84"/>
      <c r="D41" s="73"/>
      <c r="E41" s="74"/>
      <c r="F41" s="38">
        <v>8923</v>
      </c>
      <c r="G41" s="35">
        <v>1</v>
      </c>
      <c r="H41" s="35">
        <f t="shared" si="1"/>
        <v>0.7</v>
      </c>
      <c r="I41" s="23">
        <v>48</v>
      </c>
      <c r="J41" s="29">
        <v>53.1</v>
      </c>
      <c r="K41" s="29">
        <f t="shared" si="2"/>
        <v>0</v>
      </c>
      <c r="L41" s="29">
        <f t="shared" si="3"/>
        <v>0</v>
      </c>
      <c r="M41" s="29">
        <f t="shared" si="4"/>
        <v>0</v>
      </c>
      <c r="N41" s="75">
        <v>22</v>
      </c>
      <c r="O41" s="75"/>
      <c r="P41" s="75"/>
      <c r="Q41" s="38">
        <v>10153</v>
      </c>
      <c r="R41" s="58">
        <v>1</v>
      </c>
      <c r="S41" s="35">
        <v>0.7</v>
      </c>
      <c r="T41" s="97">
        <v>48</v>
      </c>
      <c r="U41" s="29">
        <v>53.1</v>
      </c>
      <c r="V41" s="42">
        <f>ROUND((N41*Q41*R41/1000-N41*U41/100*T41*247/1000)*S41,1)+0.1</f>
        <v>59.5</v>
      </c>
      <c r="W41" s="42">
        <f t="shared" si="5"/>
        <v>0</v>
      </c>
      <c r="X41" s="42">
        <f t="shared" si="6"/>
        <v>0</v>
      </c>
      <c r="Y41" s="42">
        <f t="shared" si="0"/>
        <v>59.5</v>
      </c>
      <c r="Z41" s="24">
        <f>Y41-'[1]2020'!$AJ37</f>
        <v>0</v>
      </c>
    </row>
    <row r="42" spans="1:26" s="26" customFormat="1" ht="15" customHeight="1">
      <c r="A42" s="32">
        <v>35</v>
      </c>
      <c r="B42" s="25" t="s">
        <v>37</v>
      </c>
      <c r="C42" s="84"/>
      <c r="D42" s="73"/>
      <c r="E42" s="74"/>
      <c r="F42" s="38">
        <v>8923</v>
      </c>
      <c r="G42" s="35">
        <v>1</v>
      </c>
      <c r="H42" s="35">
        <f t="shared" si="1"/>
        <v>0.91</v>
      </c>
      <c r="I42" s="27">
        <v>48</v>
      </c>
      <c r="J42" s="29">
        <v>53.1</v>
      </c>
      <c r="K42" s="29">
        <f t="shared" si="2"/>
        <v>0</v>
      </c>
      <c r="L42" s="29">
        <f t="shared" si="3"/>
        <v>0</v>
      </c>
      <c r="M42" s="29">
        <f t="shared" si="4"/>
        <v>0</v>
      </c>
      <c r="N42" s="75">
        <v>34</v>
      </c>
      <c r="O42" s="75"/>
      <c r="P42" s="75"/>
      <c r="Q42" s="38">
        <v>10153</v>
      </c>
      <c r="R42" s="58">
        <v>1</v>
      </c>
      <c r="S42" s="35">
        <v>0.91</v>
      </c>
      <c r="T42" s="98">
        <v>48</v>
      </c>
      <c r="U42" s="29">
        <v>53.1</v>
      </c>
      <c r="V42" s="42">
        <f>ROUND((N42*Q42*R42/1000-N42*U42/100*T42*247/1000)*S42,1)+0.3</f>
        <v>119.6</v>
      </c>
      <c r="W42" s="42">
        <f t="shared" si="5"/>
        <v>0</v>
      </c>
      <c r="X42" s="42">
        <f t="shared" si="6"/>
        <v>0</v>
      </c>
      <c r="Y42" s="42">
        <f t="shared" si="0"/>
        <v>119.6</v>
      </c>
      <c r="Z42" s="24">
        <f>Y42-'[1]2020'!$AJ38</f>
        <v>0</v>
      </c>
    </row>
    <row r="43" spans="1:26" s="24" customFormat="1" ht="15.75" customHeight="1">
      <c r="A43" s="31">
        <v>36</v>
      </c>
      <c r="B43" s="22" t="s">
        <v>38</v>
      </c>
      <c r="C43" s="73"/>
      <c r="D43" s="73"/>
      <c r="E43" s="74"/>
      <c r="F43" s="38">
        <v>8923</v>
      </c>
      <c r="G43" s="35">
        <v>1</v>
      </c>
      <c r="H43" s="35">
        <f t="shared" si="1"/>
        <v>0.88</v>
      </c>
      <c r="I43" s="23">
        <v>48</v>
      </c>
      <c r="J43" s="29">
        <v>53.1</v>
      </c>
      <c r="K43" s="29">
        <f t="shared" si="2"/>
        <v>0</v>
      </c>
      <c r="L43" s="29">
        <f t="shared" si="3"/>
        <v>0</v>
      </c>
      <c r="M43" s="29">
        <f t="shared" si="4"/>
        <v>0</v>
      </c>
      <c r="N43" s="75">
        <v>63</v>
      </c>
      <c r="O43" s="75"/>
      <c r="P43" s="75"/>
      <c r="Q43" s="38">
        <v>10153</v>
      </c>
      <c r="R43" s="58">
        <v>1</v>
      </c>
      <c r="S43" s="35">
        <v>0.88</v>
      </c>
      <c r="T43" s="97">
        <v>48</v>
      </c>
      <c r="U43" s="29">
        <v>53.1</v>
      </c>
      <c r="V43" s="42">
        <f>ROUND((N43*Q43*R43/1000-N43*U43/100*T43*247/1000)*S43,1)+0.8</f>
        <v>214.70000000000002</v>
      </c>
      <c r="W43" s="42">
        <f t="shared" si="5"/>
        <v>0</v>
      </c>
      <c r="X43" s="42">
        <f t="shared" si="6"/>
        <v>0</v>
      </c>
      <c r="Y43" s="42">
        <f t="shared" si="0"/>
        <v>214.70000000000002</v>
      </c>
      <c r="Z43" s="24">
        <f>Y43-'[1]2020'!$AJ39</f>
        <v>0</v>
      </c>
    </row>
    <row r="44" spans="1:26" s="24" customFormat="1" ht="15.75">
      <c r="A44" s="30">
        <v>37</v>
      </c>
      <c r="B44" s="22" t="s">
        <v>39</v>
      </c>
      <c r="C44" s="73"/>
      <c r="D44" s="73"/>
      <c r="E44" s="74"/>
      <c r="F44" s="38">
        <v>8923</v>
      </c>
      <c r="G44" s="35">
        <v>1</v>
      </c>
      <c r="H44" s="35">
        <f t="shared" si="1"/>
        <v>1</v>
      </c>
      <c r="I44" s="23">
        <v>48</v>
      </c>
      <c r="J44" s="29">
        <v>53.1</v>
      </c>
      <c r="K44" s="29">
        <f t="shared" si="2"/>
        <v>0</v>
      </c>
      <c r="L44" s="29">
        <f t="shared" si="3"/>
        <v>0</v>
      </c>
      <c r="M44" s="29">
        <f t="shared" si="4"/>
        <v>0</v>
      </c>
      <c r="N44" s="75">
        <v>12</v>
      </c>
      <c r="O44" s="75"/>
      <c r="P44" s="75"/>
      <c r="Q44" s="38">
        <v>10153</v>
      </c>
      <c r="R44" s="58">
        <v>1</v>
      </c>
      <c r="S44" s="35">
        <v>1</v>
      </c>
      <c r="T44" s="97">
        <v>48</v>
      </c>
      <c r="U44" s="29">
        <v>53.1</v>
      </c>
      <c r="V44" s="42">
        <f>ROUND((N44*Q44*R44/1000-N44*U44/100*T44*247/1000)*S44,1)</f>
        <v>46.3</v>
      </c>
      <c r="W44" s="42">
        <f t="shared" si="5"/>
        <v>0</v>
      </c>
      <c r="X44" s="42">
        <f t="shared" si="6"/>
        <v>0</v>
      </c>
      <c r="Y44" s="42">
        <f t="shared" si="0"/>
        <v>46.3</v>
      </c>
      <c r="Z44" s="24">
        <f>Y44-'[1]2020'!$AJ40</f>
        <v>0</v>
      </c>
    </row>
    <row r="45" spans="1:26" s="24" customFormat="1" ht="15.75">
      <c r="A45" s="31">
        <v>38</v>
      </c>
      <c r="B45" s="22" t="s">
        <v>22</v>
      </c>
      <c r="C45" s="89"/>
      <c r="D45" s="89"/>
      <c r="E45" s="89"/>
      <c r="F45" s="38">
        <v>8923</v>
      </c>
      <c r="G45" s="35">
        <v>1</v>
      </c>
      <c r="H45" s="35">
        <f t="shared" si="1"/>
        <v>1.19</v>
      </c>
      <c r="I45" s="23">
        <v>48</v>
      </c>
      <c r="J45" s="29">
        <v>53.1</v>
      </c>
      <c r="K45" s="29">
        <f t="shared" si="2"/>
        <v>0</v>
      </c>
      <c r="L45" s="29">
        <f t="shared" si="3"/>
        <v>0</v>
      </c>
      <c r="M45" s="29">
        <f t="shared" si="4"/>
        <v>0</v>
      </c>
      <c r="N45" s="89">
        <v>40</v>
      </c>
      <c r="O45" s="89"/>
      <c r="P45" s="89"/>
      <c r="Q45" s="38">
        <v>10153</v>
      </c>
      <c r="R45" s="58">
        <v>1</v>
      </c>
      <c r="S45" s="35">
        <v>1.19</v>
      </c>
      <c r="T45" s="97">
        <v>48</v>
      </c>
      <c r="U45" s="29">
        <v>53.1</v>
      </c>
      <c r="V45" s="42">
        <f>ROUND((N45*Q45*R45/1000-N45*U45/100*T45*247/1000)*S45,1)-0.6</f>
        <v>183</v>
      </c>
      <c r="W45" s="42">
        <f t="shared" si="5"/>
        <v>0</v>
      </c>
      <c r="X45" s="42">
        <f t="shared" si="6"/>
        <v>0</v>
      </c>
      <c r="Y45" s="42">
        <f t="shared" si="0"/>
        <v>183</v>
      </c>
      <c r="Z45" s="24">
        <f>Y45-'[1]2020'!$AJ41</f>
        <v>0</v>
      </c>
    </row>
    <row r="46" spans="1:26" s="24" customFormat="1" ht="15.75">
      <c r="A46" s="30">
        <v>39</v>
      </c>
      <c r="B46" s="22" t="s">
        <v>40</v>
      </c>
      <c r="C46" s="73"/>
      <c r="D46" s="73"/>
      <c r="E46" s="74"/>
      <c r="F46" s="38">
        <v>8923</v>
      </c>
      <c r="G46" s="35">
        <v>1</v>
      </c>
      <c r="H46" s="35">
        <f t="shared" si="1"/>
        <v>1.09</v>
      </c>
      <c r="I46" s="23">
        <v>48</v>
      </c>
      <c r="J46" s="29">
        <v>53.1</v>
      </c>
      <c r="K46" s="29">
        <f t="shared" si="2"/>
        <v>0</v>
      </c>
      <c r="L46" s="29">
        <f t="shared" si="3"/>
        <v>0</v>
      </c>
      <c r="M46" s="29">
        <f t="shared" si="4"/>
        <v>0</v>
      </c>
      <c r="N46" s="75">
        <v>22</v>
      </c>
      <c r="O46" s="75"/>
      <c r="P46" s="75"/>
      <c r="Q46" s="38">
        <v>10153</v>
      </c>
      <c r="R46" s="58">
        <v>1</v>
      </c>
      <c r="S46" s="35">
        <v>1.09</v>
      </c>
      <c r="T46" s="97">
        <v>48</v>
      </c>
      <c r="U46" s="29">
        <v>53.1</v>
      </c>
      <c r="V46" s="42">
        <f>ROUND((N46*Q46*R46/1000-N46*U46/100*T46*247/1000)*S46,1)+0.2</f>
        <v>92.7</v>
      </c>
      <c r="W46" s="42">
        <f t="shared" si="5"/>
        <v>0</v>
      </c>
      <c r="X46" s="42">
        <f t="shared" si="6"/>
        <v>0</v>
      </c>
      <c r="Y46" s="42">
        <f t="shared" si="0"/>
        <v>92.7</v>
      </c>
      <c r="Z46" s="24">
        <f>Y46-'[1]2020'!$AJ42</f>
        <v>0</v>
      </c>
    </row>
    <row r="47" spans="1:26" s="24" customFormat="1" ht="15.75">
      <c r="A47" s="31">
        <v>40</v>
      </c>
      <c r="B47" s="22" t="s">
        <v>41</v>
      </c>
      <c r="C47" s="73"/>
      <c r="D47" s="73"/>
      <c r="E47" s="74"/>
      <c r="F47" s="38">
        <v>8923</v>
      </c>
      <c r="G47" s="35">
        <v>1</v>
      </c>
      <c r="H47" s="35">
        <f t="shared" si="1"/>
        <v>1.555</v>
      </c>
      <c r="I47" s="23">
        <v>48</v>
      </c>
      <c r="J47" s="29">
        <v>53.1</v>
      </c>
      <c r="K47" s="29">
        <f t="shared" si="2"/>
        <v>0</v>
      </c>
      <c r="L47" s="29">
        <f t="shared" si="3"/>
        <v>0</v>
      </c>
      <c r="M47" s="29">
        <f t="shared" si="4"/>
        <v>0</v>
      </c>
      <c r="N47" s="75">
        <v>7</v>
      </c>
      <c r="O47" s="75"/>
      <c r="P47" s="75"/>
      <c r="Q47" s="38">
        <v>10153</v>
      </c>
      <c r="R47" s="58">
        <v>1</v>
      </c>
      <c r="S47" s="35">
        <v>1.555</v>
      </c>
      <c r="T47" s="97">
        <v>48</v>
      </c>
      <c r="U47" s="29">
        <v>53.1</v>
      </c>
      <c r="V47" s="42">
        <f>ROUND((N47*Q47*R47/1000-N47*U47/100*T47*247/1000)*S47,1)-0.5</f>
        <v>41.5</v>
      </c>
      <c r="W47" s="42">
        <f t="shared" si="5"/>
        <v>0</v>
      </c>
      <c r="X47" s="42">
        <f t="shared" si="6"/>
        <v>0</v>
      </c>
      <c r="Y47" s="42">
        <f t="shared" si="0"/>
        <v>41.5</v>
      </c>
      <c r="Z47" s="24">
        <f>Y47-'[1]2020'!$AJ43</f>
        <v>0</v>
      </c>
    </row>
    <row r="48" spans="1:26" s="24" customFormat="1" ht="15.75">
      <c r="A48" s="30">
        <v>41</v>
      </c>
      <c r="B48" s="22" t="s">
        <v>42</v>
      </c>
      <c r="C48" s="73"/>
      <c r="D48" s="73"/>
      <c r="E48" s="74"/>
      <c r="F48" s="38">
        <v>8923</v>
      </c>
      <c r="G48" s="35">
        <v>1</v>
      </c>
      <c r="H48" s="35">
        <f t="shared" si="1"/>
        <v>1.15</v>
      </c>
      <c r="I48" s="23">
        <v>48</v>
      </c>
      <c r="J48" s="29">
        <v>53.1</v>
      </c>
      <c r="K48" s="29">
        <f t="shared" si="2"/>
        <v>0</v>
      </c>
      <c r="L48" s="29">
        <f t="shared" si="3"/>
        <v>0</v>
      </c>
      <c r="M48" s="29">
        <f t="shared" si="4"/>
        <v>0</v>
      </c>
      <c r="N48" s="75">
        <v>15</v>
      </c>
      <c r="O48" s="75"/>
      <c r="P48" s="75"/>
      <c r="Q48" s="38">
        <v>10153</v>
      </c>
      <c r="R48" s="58">
        <v>1</v>
      </c>
      <c r="S48" s="35">
        <v>1.15</v>
      </c>
      <c r="T48" s="97">
        <v>48</v>
      </c>
      <c r="U48" s="29">
        <v>53.1</v>
      </c>
      <c r="V48" s="42">
        <f>ROUND((N48*Q48*R48/1000-N48*U48/100*T48*247/1000)*S48,1)-0.6</f>
        <v>65.9</v>
      </c>
      <c r="W48" s="42">
        <f t="shared" si="5"/>
        <v>0</v>
      </c>
      <c r="X48" s="42">
        <f t="shared" si="6"/>
        <v>0</v>
      </c>
      <c r="Y48" s="42">
        <f t="shared" si="0"/>
        <v>65.9</v>
      </c>
      <c r="Z48" s="24">
        <f>Y48-'[1]2020'!$AJ44</f>
        <v>0</v>
      </c>
    </row>
    <row r="49" spans="1:26" s="24" customFormat="1" ht="15.75">
      <c r="A49" s="31">
        <v>42</v>
      </c>
      <c r="B49" s="22" t="s">
        <v>23</v>
      </c>
      <c r="C49" s="73"/>
      <c r="D49" s="73"/>
      <c r="E49" s="74"/>
      <c r="F49" s="38">
        <v>8923</v>
      </c>
      <c r="G49" s="35">
        <v>1</v>
      </c>
      <c r="H49" s="35">
        <f t="shared" si="1"/>
        <v>1.15</v>
      </c>
      <c r="I49" s="23">
        <v>48</v>
      </c>
      <c r="J49" s="29">
        <v>53.1</v>
      </c>
      <c r="K49" s="29">
        <f t="shared" si="2"/>
        <v>0</v>
      </c>
      <c r="L49" s="29">
        <f t="shared" si="3"/>
        <v>0</v>
      </c>
      <c r="M49" s="29">
        <f t="shared" si="4"/>
        <v>0</v>
      </c>
      <c r="N49" s="75">
        <v>17</v>
      </c>
      <c r="O49" s="75"/>
      <c r="P49" s="75"/>
      <c r="Q49" s="38">
        <v>10153</v>
      </c>
      <c r="R49" s="58">
        <v>1</v>
      </c>
      <c r="S49" s="35">
        <v>1.15</v>
      </c>
      <c r="T49" s="97">
        <v>48</v>
      </c>
      <c r="U49" s="29">
        <v>53.1</v>
      </c>
      <c r="V49" s="42">
        <f>ROUND((N49*Q49*R49/1000-N49*U49/100*T49*247/1000)*S49,1)+0.3</f>
        <v>75.7</v>
      </c>
      <c r="W49" s="42">
        <f t="shared" si="5"/>
        <v>0</v>
      </c>
      <c r="X49" s="42">
        <f t="shared" si="6"/>
        <v>0</v>
      </c>
      <c r="Y49" s="42">
        <f t="shared" si="0"/>
        <v>75.7</v>
      </c>
      <c r="Z49" s="24">
        <f>Y49-'[1]2020'!$AJ45</f>
        <v>0</v>
      </c>
    </row>
    <row r="50" spans="1:26" s="24" customFormat="1" ht="15.75">
      <c r="A50" s="30">
        <v>43</v>
      </c>
      <c r="B50" s="22" t="s">
        <v>43</v>
      </c>
      <c r="C50" s="73"/>
      <c r="D50" s="73"/>
      <c r="E50" s="74"/>
      <c r="F50" s="38">
        <v>8923</v>
      </c>
      <c r="G50" s="35">
        <v>1</v>
      </c>
      <c r="H50" s="35">
        <f t="shared" si="1"/>
        <v>0.955</v>
      </c>
      <c r="I50" s="23">
        <v>48</v>
      </c>
      <c r="J50" s="29">
        <v>53.1</v>
      </c>
      <c r="K50" s="29">
        <f t="shared" si="2"/>
        <v>0</v>
      </c>
      <c r="L50" s="29">
        <f t="shared" si="3"/>
        <v>0</v>
      </c>
      <c r="M50" s="29">
        <f t="shared" si="4"/>
        <v>0</v>
      </c>
      <c r="N50" s="75">
        <v>21</v>
      </c>
      <c r="O50" s="75"/>
      <c r="P50" s="75"/>
      <c r="Q50" s="38">
        <v>10153</v>
      </c>
      <c r="R50" s="58">
        <v>1</v>
      </c>
      <c r="S50" s="35">
        <v>0.955</v>
      </c>
      <c r="T50" s="97">
        <v>48</v>
      </c>
      <c r="U50" s="29">
        <v>53.1</v>
      </c>
      <c r="V50" s="42">
        <f>ROUND((N50*Q50*R50/1000-N50*U50/100*T50*247/1000)*S50,1)+0.7</f>
        <v>78.10000000000001</v>
      </c>
      <c r="W50" s="42">
        <f t="shared" si="5"/>
        <v>0</v>
      </c>
      <c r="X50" s="42">
        <f t="shared" si="6"/>
        <v>0</v>
      </c>
      <c r="Y50" s="42">
        <f t="shared" si="0"/>
        <v>78.10000000000001</v>
      </c>
      <c r="Z50" s="24">
        <f>Y50-'[1]2020'!$AJ46</f>
        <v>0</v>
      </c>
    </row>
    <row r="51" spans="1:26" s="24" customFormat="1" ht="34.5" customHeight="1">
      <c r="A51" s="31">
        <v>44</v>
      </c>
      <c r="B51" s="25" t="s">
        <v>44</v>
      </c>
      <c r="C51" s="84"/>
      <c r="D51" s="73"/>
      <c r="E51" s="74"/>
      <c r="F51" s="38">
        <v>8923</v>
      </c>
      <c r="G51" s="35">
        <v>1</v>
      </c>
      <c r="H51" s="35">
        <f t="shared" si="1"/>
        <v>1.55</v>
      </c>
      <c r="I51" s="23">
        <v>48</v>
      </c>
      <c r="J51" s="29">
        <v>53.1</v>
      </c>
      <c r="K51" s="29">
        <f t="shared" si="2"/>
        <v>0</v>
      </c>
      <c r="L51" s="29">
        <f t="shared" si="3"/>
        <v>0</v>
      </c>
      <c r="M51" s="29">
        <f t="shared" si="4"/>
        <v>0</v>
      </c>
      <c r="N51" s="89">
        <v>9</v>
      </c>
      <c r="O51" s="75"/>
      <c r="P51" s="75"/>
      <c r="Q51" s="38">
        <v>10153</v>
      </c>
      <c r="R51" s="58">
        <v>1</v>
      </c>
      <c r="S51" s="35">
        <v>1.55</v>
      </c>
      <c r="T51" s="97">
        <v>48</v>
      </c>
      <c r="U51" s="29">
        <v>53.1</v>
      </c>
      <c r="V51" s="42">
        <f>ROUND((N51*Q51*R51/1000-N51*U51/100*T51*247/1000)*S51,1)-0.4</f>
        <v>53.4</v>
      </c>
      <c r="W51" s="42">
        <f t="shared" si="5"/>
        <v>0</v>
      </c>
      <c r="X51" s="42">
        <f t="shared" si="6"/>
        <v>0</v>
      </c>
      <c r="Y51" s="42">
        <f t="shared" si="0"/>
        <v>53.4</v>
      </c>
      <c r="Z51" s="24">
        <f>Y51-'[1]2020'!$AJ47</f>
        <v>0</v>
      </c>
    </row>
    <row r="52" spans="1:26" s="26" customFormat="1" ht="31.5">
      <c r="A52" s="33">
        <v>45</v>
      </c>
      <c r="B52" s="25" t="s">
        <v>45</v>
      </c>
      <c r="C52" s="84"/>
      <c r="D52" s="84"/>
      <c r="E52" s="85"/>
      <c r="F52" s="38">
        <v>8923</v>
      </c>
      <c r="G52" s="35">
        <v>1</v>
      </c>
      <c r="H52" s="35">
        <f t="shared" si="1"/>
        <v>0.93</v>
      </c>
      <c r="I52" s="23">
        <v>48</v>
      </c>
      <c r="J52" s="29">
        <v>53.1</v>
      </c>
      <c r="K52" s="29">
        <f t="shared" si="2"/>
        <v>0</v>
      </c>
      <c r="L52" s="29">
        <f t="shared" si="3"/>
        <v>0</v>
      </c>
      <c r="M52" s="29">
        <f t="shared" si="4"/>
        <v>0</v>
      </c>
      <c r="N52" s="89">
        <v>17</v>
      </c>
      <c r="O52" s="75"/>
      <c r="P52" s="75"/>
      <c r="Q52" s="38">
        <v>10153</v>
      </c>
      <c r="R52" s="58">
        <v>1</v>
      </c>
      <c r="S52" s="35">
        <v>0.93</v>
      </c>
      <c r="T52" s="97">
        <v>48</v>
      </c>
      <c r="U52" s="29">
        <v>53.1</v>
      </c>
      <c r="V52" s="42">
        <f>ROUND((N52*Q52*R52/1000-N52*U52/100*T52*247/1000)*S52,1)</f>
        <v>61</v>
      </c>
      <c r="W52" s="42">
        <f t="shared" si="5"/>
        <v>0</v>
      </c>
      <c r="X52" s="42">
        <f t="shared" si="6"/>
        <v>0</v>
      </c>
      <c r="Y52" s="42">
        <f t="shared" si="0"/>
        <v>61</v>
      </c>
      <c r="Z52" s="24"/>
    </row>
    <row r="53" spans="1:26" s="52" customFormat="1" ht="34.5" customHeight="1">
      <c r="A53" s="40"/>
      <c r="B53" s="39" t="s">
        <v>73</v>
      </c>
      <c r="C53" s="133">
        <f>SUM(C8:C52)</f>
        <v>402</v>
      </c>
      <c r="D53" s="133">
        <f>SUM(D8:D52)</f>
        <v>3</v>
      </c>
      <c r="E53" s="133">
        <f>SUM(E8:E52)</f>
        <v>0</v>
      </c>
      <c r="F53" s="69"/>
      <c r="G53" s="136"/>
      <c r="H53" s="136"/>
      <c r="I53" s="160"/>
      <c r="J53" s="68"/>
      <c r="K53" s="160">
        <f aca="true" t="shared" si="7" ref="K53:P53">SUM(K8:K52)</f>
        <v>1889.7999999999997</v>
      </c>
      <c r="L53" s="160">
        <f t="shared" si="7"/>
        <v>36.5</v>
      </c>
      <c r="M53" s="160">
        <f t="shared" si="7"/>
        <v>0</v>
      </c>
      <c r="N53" s="51">
        <f t="shared" si="7"/>
        <v>3090</v>
      </c>
      <c r="O53" s="133">
        <f t="shared" si="7"/>
        <v>31</v>
      </c>
      <c r="P53" s="133">
        <f t="shared" si="7"/>
        <v>22</v>
      </c>
      <c r="Q53" s="69"/>
      <c r="R53" s="28"/>
      <c r="S53" s="134"/>
      <c r="T53" s="161"/>
      <c r="U53" s="68"/>
      <c r="V53" s="161">
        <f>SUM(V8:V52)</f>
        <v>15579.900000000003</v>
      </c>
      <c r="W53" s="161">
        <f>SUM(W8:W52)</f>
        <v>364.7</v>
      </c>
      <c r="X53" s="161">
        <f>SUM(X8:X52)</f>
        <v>286.80000000000007</v>
      </c>
      <c r="Y53" s="161">
        <f>SUM(Y8:Y52)</f>
        <v>18157.700000000004</v>
      </c>
      <c r="Z53" s="161"/>
    </row>
    <row r="54" spans="1:25" s="167" customFormat="1" ht="15.75">
      <c r="A54" s="141"/>
      <c r="B54" s="142"/>
      <c r="C54" s="143"/>
      <c r="D54" s="154"/>
      <c r="E54" s="154"/>
      <c r="F54" s="143"/>
      <c r="G54" s="162"/>
      <c r="H54" s="162"/>
      <c r="I54" s="144"/>
      <c r="J54" s="145"/>
      <c r="K54" s="163"/>
      <c r="L54" s="163"/>
      <c r="M54" s="163"/>
      <c r="N54" s="143"/>
      <c r="O54" s="143"/>
      <c r="P54" s="164"/>
      <c r="Q54" s="143"/>
      <c r="R54" s="165"/>
      <c r="S54" s="165"/>
      <c r="T54" s="148"/>
      <c r="U54" s="145"/>
      <c r="V54" s="166"/>
      <c r="W54" s="166"/>
      <c r="X54" s="166"/>
      <c r="Y54" s="166"/>
    </row>
    <row r="55" spans="1:25" s="167" customFormat="1" ht="15.75">
      <c r="A55" s="141"/>
      <c r="B55" s="142"/>
      <c r="C55" s="154"/>
      <c r="D55" s="154"/>
      <c r="E55" s="154"/>
      <c r="F55" s="143"/>
      <c r="G55" s="162"/>
      <c r="H55" s="162"/>
      <c r="I55" s="144"/>
      <c r="J55" s="145"/>
      <c r="K55" s="163"/>
      <c r="L55" s="163"/>
      <c r="M55" s="163"/>
      <c r="N55" s="143"/>
      <c r="O55" s="154"/>
      <c r="P55" s="168"/>
      <c r="Q55" s="143"/>
      <c r="R55" s="165"/>
      <c r="S55" s="165"/>
      <c r="T55" s="148"/>
      <c r="U55" s="145"/>
      <c r="V55" s="166"/>
      <c r="W55" s="166"/>
      <c r="X55" s="166"/>
      <c r="Y55" s="166"/>
    </row>
    <row r="56" spans="1:25" s="170" customFormat="1" ht="15.75">
      <c r="A56" s="152"/>
      <c r="B56" s="153"/>
      <c r="C56" s="154"/>
      <c r="D56" s="154"/>
      <c r="E56" s="154"/>
      <c r="F56" s="156"/>
      <c r="G56" s="156"/>
      <c r="H56" s="156"/>
      <c r="I56" s="155"/>
      <c r="J56" s="155"/>
      <c r="K56" s="155"/>
      <c r="L56" s="155"/>
      <c r="M56" s="155"/>
      <c r="N56" s="154"/>
      <c r="O56" s="154"/>
      <c r="P56" s="154"/>
      <c r="Q56" s="156"/>
      <c r="R56" s="156"/>
      <c r="S56" s="156"/>
      <c r="T56" s="169"/>
      <c r="U56" s="169"/>
      <c r="V56" s="169"/>
      <c r="W56" s="169"/>
      <c r="X56" s="169"/>
      <c r="Y56" s="169"/>
    </row>
    <row r="57" spans="1:20" ht="18" customHeight="1">
      <c r="A57" s="18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5.75">
      <c r="A58" s="3"/>
      <c r="B58" s="4"/>
      <c r="C58" s="4"/>
      <c r="D58" s="4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.75">
      <c r="A59" s="3"/>
      <c r="B59" s="4"/>
      <c r="C59" s="4"/>
      <c r="D59" s="4"/>
      <c r="E59" s="17"/>
      <c r="F59" s="17"/>
      <c r="G59" s="17"/>
      <c r="H59" s="17"/>
      <c r="I59" s="17"/>
      <c r="J59" s="17"/>
      <c r="K59" s="17"/>
      <c r="L59" s="17"/>
      <c r="M59" s="17"/>
      <c r="N59" s="5"/>
      <c r="O59" s="5"/>
      <c r="P59" s="5"/>
      <c r="Q59" s="5"/>
      <c r="R59" s="5"/>
      <c r="S59" s="5"/>
      <c r="T59" s="5"/>
    </row>
    <row r="60" spans="1:20" ht="15.75">
      <c r="A60" s="3"/>
      <c r="B60" s="4"/>
      <c r="C60" s="4"/>
      <c r="D60" s="4"/>
      <c r="E60" s="17"/>
      <c r="F60" s="17"/>
      <c r="G60" s="17"/>
      <c r="H60" s="17"/>
      <c r="I60" s="17"/>
      <c r="J60" s="17"/>
      <c r="K60" s="17"/>
      <c r="L60" s="17"/>
      <c r="M60" s="17"/>
      <c r="N60" s="5"/>
      <c r="O60" s="5"/>
      <c r="P60" s="5"/>
      <c r="Q60" s="5"/>
      <c r="R60" s="5"/>
      <c r="S60" s="5"/>
      <c r="T60" s="5"/>
    </row>
    <row r="61" spans="1:20" ht="15.75">
      <c r="A61" s="3"/>
      <c r="B61" s="4"/>
      <c r="C61" s="4"/>
      <c r="D61" s="4"/>
      <c r="E61" s="17"/>
      <c r="F61" s="17"/>
      <c r="G61" s="17"/>
      <c r="H61" s="17"/>
      <c r="I61" s="17"/>
      <c r="J61" s="17"/>
      <c r="K61" s="17"/>
      <c r="L61" s="17"/>
      <c r="M61" s="17"/>
      <c r="N61" s="5"/>
      <c r="O61" s="5"/>
      <c r="P61" s="5"/>
      <c r="Q61" s="5"/>
      <c r="R61" s="5"/>
      <c r="S61" s="5"/>
      <c r="T61" s="5"/>
    </row>
    <row r="62" spans="1:20" ht="15.7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5"/>
      <c r="P62" s="5"/>
      <c r="Q62" s="5"/>
      <c r="R62" s="5"/>
      <c r="S62" s="5"/>
      <c r="T62" s="5"/>
    </row>
    <row r="63" spans="1:20" ht="15.7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5"/>
      <c r="P63" s="5"/>
      <c r="Q63" s="5"/>
      <c r="R63" s="5"/>
      <c r="S63" s="5"/>
      <c r="T63" s="5"/>
    </row>
    <row r="64" spans="1:20" ht="16.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</row>
    <row r="65" spans="1:20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</row>
    <row r="66" spans="1:20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</row>
    <row r="67" spans="1:20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</row>
    <row r="68" spans="1:20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</row>
    <row r="69" spans="1:20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</row>
    <row r="70" spans="1:20" ht="15.75">
      <c r="A70" s="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8"/>
      <c r="O70" s="8"/>
      <c r="P70" s="8"/>
      <c r="Q70" s="8"/>
      <c r="R70" s="8"/>
      <c r="S70" s="8"/>
      <c r="T70" s="8"/>
    </row>
    <row r="71" spans="1:20" s="9" customFormat="1" ht="16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1:20" ht="15.75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</row>
    <row r="73" spans="1:20" ht="15.75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/>
      <c r="O73" s="5"/>
      <c r="P73" s="5"/>
      <c r="Q73" s="5"/>
      <c r="R73" s="5"/>
      <c r="S73" s="5"/>
      <c r="T73" s="5"/>
    </row>
    <row r="74" spans="1:20" ht="15.75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/>
      <c r="O74" s="5"/>
      <c r="P74" s="5"/>
      <c r="Q74" s="5"/>
      <c r="R74" s="5"/>
      <c r="S74" s="5"/>
      <c r="T74" s="5"/>
    </row>
    <row r="75" spans="1:20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5"/>
      <c r="O75" s="5"/>
      <c r="P75" s="5"/>
      <c r="Q75" s="5"/>
      <c r="R75" s="5"/>
      <c r="S75" s="5"/>
      <c r="T75" s="5"/>
    </row>
    <row r="76" spans="1:20" ht="18" customHeight="1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/>
      <c r="O76" s="5"/>
      <c r="P76" s="5"/>
      <c r="Q76" s="5"/>
      <c r="R76" s="5"/>
      <c r="S76" s="5"/>
      <c r="T76" s="5"/>
    </row>
    <row r="77" spans="1:20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/>
      <c r="O77" s="5"/>
      <c r="P77" s="5"/>
      <c r="Q77" s="5"/>
      <c r="R77" s="5"/>
      <c r="S77" s="5"/>
      <c r="T77" s="5"/>
    </row>
    <row r="78" spans="1:20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  <c r="O78" s="5"/>
      <c r="P78" s="5"/>
      <c r="Q78" s="5"/>
      <c r="R78" s="5"/>
      <c r="S78" s="5"/>
      <c r="T78" s="5"/>
    </row>
    <row r="79" spans="1:20" ht="15.75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</row>
    <row r="80" spans="1:20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</row>
    <row r="81" spans="1:20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5"/>
      <c r="O81" s="5"/>
      <c r="P81" s="5"/>
      <c r="Q81" s="5"/>
      <c r="R81" s="5"/>
      <c r="S81" s="5"/>
      <c r="T81" s="5"/>
    </row>
    <row r="82" spans="1:20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</row>
    <row r="83" spans="1:20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</row>
    <row r="84" spans="1:20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</row>
    <row r="85" spans="1:20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</row>
    <row r="86" spans="1:20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</row>
    <row r="87" spans="1:20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</row>
    <row r="88" spans="1:20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</row>
    <row r="89" spans="1:20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</row>
    <row r="90" spans="1:20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</row>
    <row r="91" spans="1:20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</row>
    <row r="92" spans="1:20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</row>
    <row r="93" spans="1:20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</row>
    <row r="94" spans="1:20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  <c r="T94" s="5"/>
    </row>
    <row r="95" spans="1:20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</row>
    <row r="96" spans="1:20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</row>
    <row r="97" spans="1:20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</row>
    <row r="98" spans="1:20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</row>
    <row r="99" spans="1:20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</row>
    <row r="100" spans="1:20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  <c r="T100" s="5"/>
    </row>
    <row r="101" spans="1:20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</row>
    <row r="102" spans="1:20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</row>
    <row r="103" spans="1:20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  <c r="T103" s="5"/>
    </row>
    <row r="104" spans="1:20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  <c r="T104" s="5"/>
    </row>
    <row r="105" spans="1:20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</row>
    <row r="106" spans="1:20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</row>
    <row r="107" spans="1:20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</row>
    <row r="108" spans="1:20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</row>
    <row r="109" spans="1:20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</row>
    <row r="110" spans="1:20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</row>
    <row r="111" spans="1:20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</row>
    <row r="112" spans="1:20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</row>
    <row r="113" spans="1:20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</row>
    <row r="114" spans="1:20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</row>
    <row r="115" spans="1:20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</row>
    <row r="116" spans="1:20" ht="15.7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8"/>
      <c r="O116" s="8"/>
      <c r="P116" s="8"/>
      <c r="Q116" s="8"/>
      <c r="R116" s="8"/>
      <c r="S116" s="8"/>
      <c r="T116" s="8"/>
    </row>
    <row r="117" spans="1:20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2"/>
      <c r="O117" s="12"/>
      <c r="P117" s="12"/>
      <c r="Q117" s="12"/>
      <c r="R117" s="12"/>
      <c r="S117" s="12"/>
      <c r="T117" s="12"/>
    </row>
    <row r="118" spans="1:20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5"/>
      <c r="O118" s="5"/>
      <c r="P118" s="5"/>
      <c r="Q118" s="5"/>
      <c r="R118" s="5"/>
      <c r="S118" s="5"/>
      <c r="T118" s="5"/>
    </row>
  </sheetData>
  <sheetProtection/>
  <mergeCells count="36">
    <mergeCell ref="F1:G1"/>
    <mergeCell ref="D2:G2"/>
    <mergeCell ref="R5:R6"/>
    <mergeCell ref="S5:S6"/>
    <mergeCell ref="N5:P5"/>
    <mergeCell ref="X5:X6"/>
    <mergeCell ref="P4:S4"/>
    <mergeCell ref="T3:V3"/>
    <mergeCell ref="T4:V4"/>
    <mergeCell ref="F5:F6"/>
    <mergeCell ref="Y5:Y6"/>
    <mergeCell ref="T5:T6"/>
    <mergeCell ref="U5:U6"/>
    <mergeCell ref="V5:V6"/>
    <mergeCell ref="W5:W6"/>
    <mergeCell ref="K5:K6"/>
    <mergeCell ref="G5:G6"/>
    <mergeCell ref="H5:H6"/>
    <mergeCell ref="L5:L6"/>
    <mergeCell ref="M5:M6"/>
    <mergeCell ref="Q5:Q6"/>
    <mergeCell ref="W3:Y3"/>
    <mergeCell ref="W4:Y4"/>
    <mergeCell ref="C3:G3"/>
    <mergeCell ref="C4:G4"/>
    <mergeCell ref="H3:J3"/>
    <mergeCell ref="H4:J4"/>
    <mergeCell ref="K3:O3"/>
    <mergeCell ref="A3:A6"/>
    <mergeCell ref="B3:B6"/>
    <mergeCell ref="A71:T71"/>
    <mergeCell ref="C5:E5"/>
    <mergeCell ref="K4:O4"/>
    <mergeCell ref="P3:S3"/>
    <mergeCell ref="I5:I6"/>
    <mergeCell ref="J5:J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2" r:id="rId1"/>
  <rowBreaks count="1" manualBreakCount="1">
    <brk id="56" max="255" man="1"/>
  </rowBreaks>
  <colBreaks count="3" manualBreakCount="3">
    <brk id="7" max="52" man="1"/>
    <brk id="14" max="52" man="1"/>
    <brk id="22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8"/>
  <sheetViews>
    <sheetView view="pageBreakPreview" zoomScale="81" zoomScaleNormal="71" zoomScaleSheetLayoutView="81" zoomScalePageLayoutView="0" workbookViewId="0" topLeftCell="A1">
      <pane xSplit="2" ySplit="6" topLeftCell="N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4" sqref="A54:IV56"/>
    </sheetView>
  </sheetViews>
  <sheetFormatPr defaultColWidth="9.140625" defaultRowHeight="12.75"/>
  <cols>
    <col min="1" max="1" width="9.00390625" style="13" customWidth="1"/>
    <col min="2" max="3" width="30.8515625" style="13" customWidth="1"/>
    <col min="4" max="4" width="24.00390625" style="13" customWidth="1"/>
    <col min="5" max="5" width="19.421875" style="13" customWidth="1"/>
    <col min="6" max="7" width="17.28125" style="13" customWidth="1"/>
    <col min="8" max="8" width="26.421875" style="13" customWidth="1"/>
    <col min="9" max="11" width="20.00390625" style="13" customWidth="1"/>
    <col min="12" max="13" width="24.421875" style="14" customWidth="1"/>
    <col min="14" max="14" width="18.28125" style="14" customWidth="1"/>
    <col min="15" max="15" width="17.140625" style="14" customWidth="1"/>
    <col min="16" max="16" width="22.8515625" style="14" customWidth="1"/>
    <col min="17" max="19" width="20.421875" style="1" customWidth="1"/>
    <col min="20" max="20" width="19.421875" style="1" customWidth="1"/>
    <col min="21" max="21" width="0.71875" style="1" customWidth="1"/>
    <col min="22" max="16384" width="9.140625" style="1" customWidth="1"/>
  </cols>
  <sheetData>
    <row r="1" spans="1:16" ht="15.75">
      <c r="A1" s="44"/>
      <c r="B1" s="44"/>
      <c r="C1" s="44"/>
      <c r="D1" s="44"/>
      <c r="E1" s="44"/>
      <c r="F1" s="44"/>
      <c r="G1" s="117" t="s">
        <v>93</v>
      </c>
      <c r="H1" s="117"/>
      <c r="I1" s="44"/>
      <c r="J1" s="44"/>
      <c r="K1" s="44"/>
      <c r="L1" s="44"/>
      <c r="M1" s="44"/>
      <c r="N1" s="44"/>
      <c r="O1" s="44"/>
      <c r="P1" s="44"/>
    </row>
    <row r="2" spans="1:16" ht="18.75">
      <c r="A2" s="63"/>
      <c r="B2" s="63"/>
      <c r="C2" s="63"/>
      <c r="D2" s="63"/>
      <c r="E2" s="118" t="s">
        <v>86</v>
      </c>
      <c r="F2" s="118"/>
      <c r="G2" s="118"/>
      <c r="H2" s="118"/>
      <c r="I2" s="59"/>
      <c r="J2" s="59"/>
      <c r="K2" s="59"/>
      <c r="L2" s="2"/>
      <c r="M2" s="2"/>
      <c r="N2" s="2"/>
      <c r="O2" s="2"/>
      <c r="P2" s="2"/>
    </row>
    <row r="3" spans="1:27" ht="27.75" customHeight="1">
      <c r="A3" s="110" t="s">
        <v>0</v>
      </c>
      <c r="B3" s="107" t="s">
        <v>63</v>
      </c>
      <c r="C3" s="113" t="s">
        <v>90</v>
      </c>
      <c r="D3" s="114"/>
      <c r="E3" s="114"/>
      <c r="F3" s="114"/>
      <c r="G3" s="114"/>
      <c r="H3" s="115"/>
      <c r="I3" s="116" t="s">
        <v>89</v>
      </c>
      <c r="J3" s="116"/>
      <c r="K3" s="116"/>
      <c r="L3" s="116"/>
      <c r="M3" s="116"/>
      <c r="N3" s="116"/>
      <c r="O3" s="116"/>
      <c r="P3" s="113" t="s">
        <v>87</v>
      </c>
      <c r="Q3" s="114"/>
      <c r="R3" s="114"/>
      <c r="S3" s="114"/>
      <c r="T3" s="114"/>
      <c r="U3" s="49"/>
      <c r="V3" s="49"/>
      <c r="W3" s="48"/>
      <c r="X3" s="48"/>
      <c r="Y3" s="48"/>
      <c r="Z3" s="48"/>
      <c r="AA3" s="48"/>
    </row>
    <row r="4" spans="1:27" ht="27.75" customHeight="1">
      <c r="A4" s="111"/>
      <c r="B4" s="108"/>
      <c r="C4" s="116" t="s">
        <v>46</v>
      </c>
      <c r="D4" s="116"/>
      <c r="E4" s="116"/>
      <c r="F4" s="116"/>
      <c r="G4" s="116"/>
      <c r="H4" s="116"/>
      <c r="I4" s="113" t="s">
        <v>46</v>
      </c>
      <c r="J4" s="114"/>
      <c r="K4" s="114"/>
      <c r="L4" s="114"/>
      <c r="M4" s="114"/>
      <c r="N4" s="114"/>
      <c r="O4" s="114"/>
      <c r="P4" s="113" t="s">
        <v>46</v>
      </c>
      <c r="Q4" s="114"/>
      <c r="R4" s="114"/>
      <c r="S4" s="114"/>
      <c r="T4" s="114"/>
      <c r="U4" s="49"/>
      <c r="V4" s="49"/>
      <c r="W4" s="48"/>
      <c r="X4" s="48"/>
      <c r="Y4" s="48"/>
      <c r="Z4" s="48"/>
      <c r="AA4" s="48"/>
    </row>
    <row r="5" spans="1:27" ht="27.75" customHeight="1">
      <c r="A5" s="111"/>
      <c r="B5" s="108"/>
      <c r="C5" s="129" t="s">
        <v>81</v>
      </c>
      <c r="D5" s="125" t="s">
        <v>49</v>
      </c>
      <c r="E5" s="121"/>
      <c r="F5" s="126"/>
      <c r="G5" s="119" t="s">
        <v>80</v>
      </c>
      <c r="H5" s="127" t="s">
        <v>83</v>
      </c>
      <c r="I5" s="116" t="s">
        <v>60</v>
      </c>
      <c r="J5" s="116" t="s">
        <v>61</v>
      </c>
      <c r="K5" s="116" t="s">
        <v>62</v>
      </c>
      <c r="L5" s="113" t="s">
        <v>49</v>
      </c>
      <c r="M5" s="114"/>
      <c r="N5" s="115"/>
      <c r="O5" s="123" t="s">
        <v>80</v>
      </c>
      <c r="P5" s="122" t="s">
        <v>83</v>
      </c>
      <c r="Q5" s="116" t="s">
        <v>77</v>
      </c>
      <c r="R5" s="116" t="s">
        <v>78</v>
      </c>
      <c r="S5" s="116" t="s">
        <v>79</v>
      </c>
      <c r="T5" s="116" t="s">
        <v>82</v>
      </c>
      <c r="U5" s="48"/>
      <c r="V5" s="48"/>
      <c r="W5" s="48"/>
      <c r="X5" s="48"/>
      <c r="Y5" s="48"/>
      <c r="Z5" s="48"/>
      <c r="AA5" s="48"/>
    </row>
    <row r="6" spans="1:20" ht="177" customHeight="1">
      <c r="A6" s="112"/>
      <c r="B6" s="109"/>
      <c r="C6" s="130"/>
      <c r="D6" s="61" t="s">
        <v>65</v>
      </c>
      <c r="E6" s="60" t="s">
        <v>66</v>
      </c>
      <c r="F6" s="60" t="s">
        <v>64</v>
      </c>
      <c r="G6" s="116"/>
      <c r="H6" s="122"/>
      <c r="I6" s="116"/>
      <c r="J6" s="116"/>
      <c r="K6" s="116"/>
      <c r="L6" s="61" t="s">
        <v>75</v>
      </c>
      <c r="M6" s="60" t="s">
        <v>71</v>
      </c>
      <c r="N6" s="60" t="s">
        <v>72</v>
      </c>
      <c r="O6" s="128"/>
      <c r="P6" s="122"/>
      <c r="Q6" s="116"/>
      <c r="R6" s="116"/>
      <c r="S6" s="116"/>
      <c r="T6" s="116"/>
    </row>
    <row r="7" spans="1:20" s="15" customFormat="1" ht="17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</row>
    <row r="8" spans="1:21" s="24" customFormat="1" ht="15.75">
      <c r="A8" s="30">
        <v>1</v>
      </c>
      <c r="B8" s="22" t="s">
        <v>1</v>
      </c>
      <c r="C8" s="99">
        <v>9579</v>
      </c>
      <c r="D8" s="70"/>
      <c r="E8" s="70"/>
      <c r="F8" s="71"/>
      <c r="G8" s="38">
        <v>4725</v>
      </c>
      <c r="H8" s="58">
        <f>ROUND(C8/G8,3)</f>
        <v>2.027</v>
      </c>
      <c r="I8" s="29">
        <f>ROUND((D8)*G8*H8/1000,1)</f>
        <v>0</v>
      </c>
      <c r="J8" s="29">
        <f>ROUND((E8)*G8*H8/1000,1)</f>
        <v>0</v>
      </c>
      <c r="K8" s="29">
        <f>ROUND((F8)*G8*H8/1000,1)</f>
        <v>0</v>
      </c>
      <c r="L8" s="72">
        <v>102</v>
      </c>
      <c r="M8" s="72"/>
      <c r="N8" s="72">
        <v>1</v>
      </c>
      <c r="O8" s="38">
        <v>4725</v>
      </c>
      <c r="P8" s="58">
        <f>H8</f>
        <v>2.027</v>
      </c>
      <c r="Q8" s="42">
        <f>ROUND((L8)*O8/1000*P8,1)+0.2</f>
        <v>977.1</v>
      </c>
      <c r="R8" s="42">
        <f>ROUND((M8)*O8*P8/1000,1)</f>
        <v>0</v>
      </c>
      <c r="S8" s="42">
        <f>ROUND((N8)*O8*P8/1000,1)</f>
        <v>9.6</v>
      </c>
      <c r="T8" s="42">
        <f>I8+J8+K8+Q8+R8+S8</f>
        <v>986.7</v>
      </c>
      <c r="U8" s="24">
        <f>T8-'[1]2020'!$AP4</f>
        <v>0</v>
      </c>
    </row>
    <row r="9" spans="1:21" s="24" customFormat="1" ht="15.75">
      <c r="A9" s="31">
        <v>2</v>
      </c>
      <c r="B9" s="22" t="s">
        <v>2</v>
      </c>
      <c r="C9" s="100">
        <v>9257</v>
      </c>
      <c r="D9" s="73">
        <v>25</v>
      </c>
      <c r="E9" s="73"/>
      <c r="F9" s="74"/>
      <c r="G9" s="38">
        <v>4725</v>
      </c>
      <c r="H9" s="58">
        <f aca="true" t="shared" si="0" ref="H9:H52">ROUND(C9/G9,3)</f>
        <v>1.959</v>
      </c>
      <c r="I9" s="29">
        <f aca="true" t="shared" si="1" ref="I9:I52">ROUND((D9)*G9*H9/1000,1)</f>
        <v>231.4</v>
      </c>
      <c r="J9" s="29">
        <f aca="true" t="shared" si="2" ref="J9:J52">ROUND((E9)*G9*H9/1000,1)</f>
        <v>0</v>
      </c>
      <c r="K9" s="29">
        <f aca="true" t="shared" si="3" ref="K9:K55">ROUND((F9)*G9*H9/1000,1)</f>
        <v>0</v>
      </c>
      <c r="L9" s="75">
        <v>102</v>
      </c>
      <c r="M9" s="75">
        <v>1</v>
      </c>
      <c r="N9" s="75">
        <v>1</v>
      </c>
      <c r="O9" s="38">
        <v>4725</v>
      </c>
      <c r="P9" s="58">
        <f aca="true" t="shared" si="4" ref="P9:P52">H9</f>
        <v>1.959</v>
      </c>
      <c r="Q9" s="42">
        <f>ROUND((L9)*O9/1000*P9,1)+0.2</f>
        <v>944.3000000000001</v>
      </c>
      <c r="R9" s="42">
        <f aca="true" t="shared" si="5" ref="R9:R52">ROUND((M9)*O9*P9/1000,1)</f>
        <v>9.3</v>
      </c>
      <c r="S9" s="42">
        <f>ROUND((N9)*O9*P9/1000,1)-0.2</f>
        <v>9.100000000000001</v>
      </c>
      <c r="T9" s="42">
        <f aca="true" t="shared" si="6" ref="T9:T55">I9+J9+K9+Q9+R9+S9</f>
        <v>1194.1</v>
      </c>
      <c r="U9" s="24">
        <f>T9-'[1]2020'!$AP5</f>
        <v>0</v>
      </c>
    </row>
    <row r="10" spans="1:21" s="24" customFormat="1" ht="15.75">
      <c r="A10" s="30">
        <v>3</v>
      </c>
      <c r="B10" s="22" t="s">
        <v>3</v>
      </c>
      <c r="C10" s="100">
        <v>10523</v>
      </c>
      <c r="D10" s="73">
        <v>20</v>
      </c>
      <c r="E10" s="73"/>
      <c r="F10" s="74"/>
      <c r="G10" s="38">
        <v>4725</v>
      </c>
      <c r="H10" s="58">
        <f t="shared" si="0"/>
        <v>2.227</v>
      </c>
      <c r="I10" s="29">
        <f t="shared" si="1"/>
        <v>210.5</v>
      </c>
      <c r="J10" s="29">
        <f t="shared" si="2"/>
        <v>0</v>
      </c>
      <c r="K10" s="29">
        <f t="shared" si="3"/>
        <v>0</v>
      </c>
      <c r="L10" s="75">
        <v>121</v>
      </c>
      <c r="M10" s="75">
        <v>1</v>
      </c>
      <c r="N10" s="75"/>
      <c r="O10" s="38">
        <v>4725</v>
      </c>
      <c r="P10" s="58">
        <f t="shared" si="4"/>
        <v>2.227</v>
      </c>
      <c r="Q10" s="42">
        <f>ROUND((L10)*O10/1000*P10,1)+0.1</f>
        <v>1273.3</v>
      </c>
      <c r="R10" s="42">
        <f t="shared" si="5"/>
        <v>10.5</v>
      </c>
      <c r="S10" s="42">
        <f aca="true" t="shared" si="7" ref="S10:S52">ROUND((N10)*O10*P10/1000,1)</f>
        <v>0</v>
      </c>
      <c r="T10" s="42">
        <f t="shared" si="6"/>
        <v>1494.3</v>
      </c>
      <c r="U10" s="24">
        <f>T10-'[1]2020'!$AP6</f>
        <v>0</v>
      </c>
    </row>
    <row r="11" spans="1:21" s="24" customFormat="1" ht="15.75">
      <c r="A11" s="31">
        <v>4</v>
      </c>
      <c r="B11" s="22" t="s">
        <v>4</v>
      </c>
      <c r="C11" s="100">
        <v>8237</v>
      </c>
      <c r="D11" s="73">
        <v>45</v>
      </c>
      <c r="E11" s="76"/>
      <c r="F11" s="74"/>
      <c r="G11" s="38">
        <v>4725</v>
      </c>
      <c r="H11" s="58">
        <f t="shared" si="0"/>
        <v>1.743</v>
      </c>
      <c r="I11" s="29">
        <f t="shared" si="1"/>
        <v>370.6</v>
      </c>
      <c r="J11" s="29">
        <f t="shared" si="2"/>
        <v>0</v>
      </c>
      <c r="K11" s="29">
        <f t="shared" si="3"/>
        <v>0</v>
      </c>
      <c r="L11" s="75">
        <v>191</v>
      </c>
      <c r="M11" s="75">
        <v>4</v>
      </c>
      <c r="N11" s="75">
        <v>3</v>
      </c>
      <c r="O11" s="38">
        <v>4725</v>
      </c>
      <c r="P11" s="58">
        <f t="shared" si="4"/>
        <v>1.743</v>
      </c>
      <c r="Q11" s="42">
        <f>ROUND((L11)*O11/1000*P11,1)+0.3</f>
        <v>1573.3</v>
      </c>
      <c r="R11" s="42">
        <f t="shared" si="5"/>
        <v>32.9</v>
      </c>
      <c r="S11" s="42">
        <f t="shared" si="7"/>
        <v>24.7</v>
      </c>
      <c r="T11" s="42">
        <f t="shared" si="6"/>
        <v>2001.5000000000002</v>
      </c>
      <c r="U11" s="24">
        <f>T11-'[1]2020'!$AP7</f>
        <v>0</v>
      </c>
    </row>
    <row r="12" spans="1:21" s="24" customFormat="1" ht="15.75">
      <c r="A12" s="30">
        <v>5</v>
      </c>
      <c r="B12" s="22" t="s">
        <v>5</v>
      </c>
      <c r="C12" s="100">
        <v>7923</v>
      </c>
      <c r="D12" s="73">
        <v>74</v>
      </c>
      <c r="E12" s="73">
        <v>1</v>
      </c>
      <c r="F12" s="74"/>
      <c r="G12" s="38">
        <v>4725</v>
      </c>
      <c r="H12" s="58">
        <f t="shared" si="0"/>
        <v>1.677</v>
      </c>
      <c r="I12" s="29">
        <f t="shared" si="1"/>
        <v>586.4</v>
      </c>
      <c r="J12" s="29">
        <f t="shared" si="2"/>
        <v>7.9</v>
      </c>
      <c r="K12" s="29">
        <f t="shared" si="3"/>
        <v>0</v>
      </c>
      <c r="L12" s="75">
        <v>196</v>
      </c>
      <c r="M12" s="75"/>
      <c r="N12" s="75">
        <v>5</v>
      </c>
      <c r="O12" s="38">
        <v>4725</v>
      </c>
      <c r="P12" s="58">
        <f t="shared" si="4"/>
        <v>1.677</v>
      </c>
      <c r="Q12" s="42">
        <f>ROUND((L12)*O12/1000*P12,1)-0.1</f>
        <v>1553</v>
      </c>
      <c r="R12" s="42">
        <f t="shared" si="5"/>
        <v>0</v>
      </c>
      <c r="S12" s="42">
        <f t="shared" si="7"/>
        <v>39.6</v>
      </c>
      <c r="T12" s="42">
        <f t="shared" si="6"/>
        <v>2186.9</v>
      </c>
      <c r="U12" s="24">
        <f>T12-'[1]2020'!$AP8</f>
        <v>0</v>
      </c>
    </row>
    <row r="13" spans="1:21" s="24" customFormat="1" ht="15.75">
      <c r="A13" s="31">
        <v>6</v>
      </c>
      <c r="B13" s="22" t="s">
        <v>6</v>
      </c>
      <c r="C13" s="100">
        <v>8711</v>
      </c>
      <c r="D13" s="73"/>
      <c r="E13" s="73"/>
      <c r="F13" s="74"/>
      <c r="G13" s="38">
        <v>4725</v>
      </c>
      <c r="H13" s="58">
        <f t="shared" si="0"/>
        <v>1.844</v>
      </c>
      <c r="I13" s="29">
        <f t="shared" si="1"/>
        <v>0</v>
      </c>
      <c r="J13" s="29">
        <f t="shared" si="2"/>
        <v>0</v>
      </c>
      <c r="K13" s="29">
        <f t="shared" si="3"/>
        <v>0</v>
      </c>
      <c r="L13" s="75">
        <v>156</v>
      </c>
      <c r="M13" s="75">
        <v>3</v>
      </c>
      <c r="N13" s="75">
        <v>1</v>
      </c>
      <c r="O13" s="38">
        <v>4725</v>
      </c>
      <c r="P13" s="58">
        <f t="shared" si="4"/>
        <v>1.844</v>
      </c>
      <c r="Q13" s="42">
        <f>ROUND((L13)*O13/1000*P13,1)-0.2</f>
        <v>1359</v>
      </c>
      <c r="R13" s="42">
        <f t="shared" si="5"/>
        <v>26.1</v>
      </c>
      <c r="S13" s="42">
        <f t="shared" si="7"/>
        <v>8.7</v>
      </c>
      <c r="T13" s="42">
        <f t="shared" si="6"/>
        <v>1393.8</v>
      </c>
      <c r="U13" s="24">
        <f>T13-'[1]2020'!$AP9</f>
        <v>0</v>
      </c>
    </row>
    <row r="14" spans="1:21" s="24" customFormat="1" ht="15.75">
      <c r="A14" s="30">
        <v>7</v>
      </c>
      <c r="B14" s="22" t="s">
        <v>7</v>
      </c>
      <c r="C14" s="101">
        <v>8724</v>
      </c>
      <c r="D14" s="77">
        <v>25</v>
      </c>
      <c r="E14" s="77"/>
      <c r="F14" s="78"/>
      <c r="G14" s="38">
        <v>4725</v>
      </c>
      <c r="H14" s="58">
        <f t="shared" si="0"/>
        <v>1.846</v>
      </c>
      <c r="I14" s="29">
        <f t="shared" si="1"/>
        <v>218.1</v>
      </c>
      <c r="J14" s="29">
        <f t="shared" si="2"/>
        <v>0</v>
      </c>
      <c r="K14" s="29">
        <f t="shared" si="3"/>
        <v>0</v>
      </c>
      <c r="L14" s="75">
        <v>234</v>
      </c>
      <c r="M14" s="75">
        <v>1</v>
      </c>
      <c r="N14" s="75"/>
      <c r="O14" s="38">
        <v>4725</v>
      </c>
      <c r="P14" s="58">
        <f t="shared" si="4"/>
        <v>1.846</v>
      </c>
      <c r="Q14" s="42">
        <f>ROUND((L14)*O14/1000*P14,1)+0.5</f>
        <v>2041.5</v>
      </c>
      <c r="R14" s="42">
        <f t="shared" si="5"/>
        <v>8.7</v>
      </c>
      <c r="S14" s="42">
        <f t="shared" si="7"/>
        <v>0</v>
      </c>
      <c r="T14" s="42">
        <f t="shared" si="6"/>
        <v>2268.2999999999997</v>
      </c>
      <c r="U14" s="24">
        <f>T14-'[1]2020'!$AP10</f>
        <v>0</v>
      </c>
    </row>
    <row r="15" spans="1:21" s="24" customFormat="1" ht="15.75">
      <c r="A15" s="31">
        <v>8</v>
      </c>
      <c r="B15" s="22" t="s">
        <v>8</v>
      </c>
      <c r="C15" s="100">
        <v>7631</v>
      </c>
      <c r="D15" s="73">
        <v>44</v>
      </c>
      <c r="E15" s="73"/>
      <c r="F15" s="74"/>
      <c r="G15" s="38">
        <v>4725</v>
      </c>
      <c r="H15" s="58">
        <f t="shared" si="0"/>
        <v>1.615</v>
      </c>
      <c r="I15" s="29">
        <f t="shared" si="1"/>
        <v>335.8</v>
      </c>
      <c r="J15" s="29">
        <f t="shared" si="2"/>
        <v>0</v>
      </c>
      <c r="K15" s="29">
        <f t="shared" si="3"/>
        <v>0</v>
      </c>
      <c r="L15" s="75">
        <v>224</v>
      </c>
      <c r="M15" s="75"/>
      <c r="N15" s="75">
        <v>2</v>
      </c>
      <c r="O15" s="38">
        <v>4725</v>
      </c>
      <c r="P15" s="58">
        <f t="shared" si="4"/>
        <v>1.615</v>
      </c>
      <c r="Q15" s="42">
        <f>ROUND((L15)*O15/1000*P15,1)-0.1</f>
        <v>1709.2</v>
      </c>
      <c r="R15" s="42">
        <f t="shared" si="5"/>
        <v>0</v>
      </c>
      <c r="S15" s="42">
        <f t="shared" si="7"/>
        <v>15.3</v>
      </c>
      <c r="T15" s="42">
        <f t="shared" si="6"/>
        <v>2060.3</v>
      </c>
      <c r="U15" s="24">
        <f>T15-'[1]2020'!$AP11</f>
        <v>0</v>
      </c>
    </row>
    <row r="16" spans="1:21" s="24" customFormat="1" ht="15.75">
      <c r="A16" s="30">
        <v>9</v>
      </c>
      <c r="B16" s="22" t="s">
        <v>9</v>
      </c>
      <c r="C16" s="100">
        <v>13296</v>
      </c>
      <c r="D16" s="73">
        <v>40</v>
      </c>
      <c r="E16" s="73">
        <v>1</v>
      </c>
      <c r="F16" s="74"/>
      <c r="G16" s="38">
        <v>4725</v>
      </c>
      <c r="H16" s="58">
        <f t="shared" si="0"/>
        <v>2.814</v>
      </c>
      <c r="I16" s="29">
        <f t="shared" si="1"/>
        <v>531.8</v>
      </c>
      <c r="J16" s="29">
        <f t="shared" si="2"/>
        <v>13.3</v>
      </c>
      <c r="K16" s="29">
        <f t="shared" si="3"/>
        <v>0</v>
      </c>
      <c r="L16" s="75">
        <v>180</v>
      </c>
      <c r="M16" s="75">
        <v>2</v>
      </c>
      <c r="N16" s="75"/>
      <c r="O16" s="38">
        <v>4725</v>
      </c>
      <c r="P16" s="58">
        <f t="shared" si="4"/>
        <v>2.814</v>
      </c>
      <c r="Q16" s="42">
        <f aca="true" t="shared" si="8" ref="Q16:Q52">ROUND((L16)*O16/1000*P16,1)</f>
        <v>2393.3</v>
      </c>
      <c r="R16" s="42">
        <f t="shared" si="5"/>
        <v>26.6</v>
      </c>
      <c r="S16" s="42">
        <f t="shared" si="7"/>
        <v>0</v>
      </c>
      <c r="T16" s="42">
        <f t="shared" si="6"/>
        <v>2965</v>
      </c>
      <c r="U16" s="24">
        <f>T16-'[1]2020'!$AP12</f>
        <v>0</v>
      </c>
    </row>
    <row r="17" spans="1:21" s="24" customFormat="1" ht="15.75">
      <c r="A17" s="31">
        <v>10</v>
      </c>
      <c r="B17" s="22" t="s">
        <v>10</v>
      </c>
      <c r="C17" s="100">
        <v>10704</v>
      </c>
      <c r="D17" s="73">
        <v>45</v>
      </c>
      <c r="E17" s="73"/>
      <c r="F17" s="74"/>
      <c r="G17" s="38">
        <v>4725</v>
      </c>
      <c r="H17" s="58">
        <f t="shared" si="0"/>
        <v>2.265</v>
      </c>
      <c r="I17" s="29">
        <f t="shared" si="1"/>
        <v>481.6</v>
      </c>
      <c r="J17" s="29">
        <f t="shared" si="2"/>
        <v>0</v>
      </c>
      <c r="K17" s="29">
        <f t="shared" si="3"/>
        <v>0</v>
      </c>
      <c r="L17" s="75">
        <v>189</v>
      </c>
      <c r="M17" s="75"/>
      <c r="N17" s="75"/>
      <c r="O17" s="38">
        <v>4725</v>
      </c>
      <c r="P17" s="58">
        <f t="shared" si="4"/>
        <v>2.265</v>
      </c>
      <c r="Q17" s="42">
        <f>ROUND((L17)*O17/1000*P17,1)+0.6</f>
        <v>2023.3</v>
      </c>
      <c r="R17" s="42">
        <f t="shared" si="5"/>
        <v>0</v>
      </c>
      <c r="S17" s="42">
        <f t="shared" si="7"/>
        <v>0</v>
      </c>
      <c r="T17" s="42">
        <f t="shared" si="6"/>
        <v>2504.9</v>
      </c>
      <c r="U17" s="24">
        <f>T17-'[1]2020'!$AP13</f>
        <v>0</v>
      </c>
    </row>
    <row r="18" spans="1:21" s="24" customFormat="1" ht="15.75">
      <c r="A18" s="30">
        <v>11</v>
      </c>
      <c r="B18" s="25" t="s">
        <v>11</v>
      </c>
      <c r="C18" s="102">
        <v>19365</v>
      </c>
      <c r="D18" s="79">
        <v>21</v>
      </c>
      <c r="E18" s="79">
        <v>1</v>
      </c>
      <c r="F18" s="80"/>
      <c r="G18" s="38">
        <v>4725</v>
      </c>
      <c r="H18" s="58">
        <f t="shared" si="0"/>
        <v>4.098</v>
      </c>
      <c r="I18" s="29">
        <f t="shared" si="1"/>
        <v>406.6</v>
      </c>
      <c r="J18" s="29">
        <f t="shared" si="2"/>
        <v>19.4</v>
      </c>
      <c r="K18" s="29">
        <f t="shared" si="3"/>
        <v>0</v>
      </c>
      <c r="L18" s="81">
        <v>65</v>
      </c>
      <c r="M18" s="81">
        <v>1</v>
      </c>
      <c r="N18" s="81">
        <v>1</v>
      </c>
      <c r="O18" s="38">
        <v>4725</v>
      </c>
      <c r="P18" s="58">
        <f t="shared" si="4"/>
        <v>4.098</v>
      </c>
      <c r="Q18" s="42">
        <f>ROUND((L18)*O18/1000*P18,1)+0.1</f>
        <v>1258.6999999999998</v>
      </c>
      <c r="R18" s="42">
        <f t="shared" si="5"/>
        <v>19.4</v>
      </c>
      <c r="S18" s="42">
        <f t="shared" si="7"/>
        <v>19.4</v>
      </c>
      <c r="T18" s="42">
        <f t="shared" si="6"/>
        <v>1723.5</v>
      </c>
      <c r="U18" s="24">
        <f>T18-'[1]2020'!$AP14</f>
        <v>0</v>
      </c>
    </row>
    <row r="19" spans="1:21" s="24" customFormat="1" ht="15.75">
      <c r="A19" s="31">
        <v>12</v>
      </c>
      <c r="B19" s="22" t="s">
        <v>25</v>
      </c>
      <c r="C19" s="100">
        <v>25938</v>
      </c>
      <c r="D19" s="73"/>
      <c r="E19" s="73"/>
      <c r="F19" s="74"/>
      <c r="G19" s="38">
        <v>4725</v>
      </c>
      <c r="H19" s="58">
        <f t="shared" si="0"/>
        <v>5.49</v>
      </c>
      <c r="I19" s="29">
        <f t="shared" si="1"/>
        <v>0</v>
      </c>
      <c r="J19" s="29">
        <f t="shared" si="2"/>
        <v>0</v>
      </c>
      <c r="K19" s="29">
        <f t="shared" si="3"/>
        <v>0</v>
      </c>
      <c r="L19" s="75">
        <v>24</v>
      </c>
      <c r="M19" s="75">
        <v>1</v>
      </c>
      <c r="N19" s="75">
        <v>1</v>
      </c>
      <c r="O19" s="38">
        <v>4725</v>
      </c>
      <c r="P19" s="58">
        <f t="shared" si="4"/>
        <v>5.49</v>
      </c>
      <c r="Q19" s="42">
        <f t="shared" si="8"/>
        <v>622.6</v>
      </c>
      <c r="R19" s="42">
        <f t="shared" si="5"/>
        <v>25.9</v>
      </c>
      <c r="S19" s="42">
        <f t="shared" si="7"/>
        <v>25.9</v>
      </c>
      <c r="T19" s="42">
        <f t="shared" si="6"/>
        <v>674.4</v>
      </c>
      <c r="U19" s="24">
        <f>T19-'[1]2020'!$AP15</f>
        <v>0</v>
      </c>
    </row>
    <row r="20" spans="1:21" s="24" customFormat="1" ht="15.75">
      <c r="A20" s="30">
        <v>13</v>
      </c>
      <c r="B20" s="22" t="s">
        <v>24</v>
      </c>
      <c r="C20" s="101">
        <v>17192</v>
      </c>
      <c r="D20" s="77"/>
      <c r="E20" s="77"/>
      <c r="F20" s="78"/>
      <c r="G20" s="38">
        <v>4725</v>
      </c>
      <c r="H20" s="58">
        <f t="shared" si="0"/>
        <v>3.639</v>
      </c>
      <c r="I20" s="29">
        <f t="shared" si="1"/>
        <v>0</v>
      </c>
      <c r="J20" s="29">
        <f t="shared" si="2"/>
        <v>0</v>
      </c>
      <c r="K20" s="29">
        <f t="shared" si="3"/>
        <v>0</v>
      </c>
      <c r="L20" s="75">
        <v>23</v>
      </c>
      <c r="M20" s="75"/>
      <c r="N20" s="75">
        <v>2</v>
      </c>
      <c r="O20" s="38">
        <v>4725</v>
      </c>
      <c r="P20" s="58">
        <f t="shared" si="4"/>
        <v>3.639</v>
      </c>
      <c r="Q20" s="42">
        <f>ROUND((L20)*O20/1000*P20,1)-0.1</f>
        <v>395.4</v>
      </c>
      <c r="R20" s="42">
        <f t="shared" si="5"/>
        <v>0</v>
      </c>
      <c r="S20" s="42">
        <f t="shared" si="7"/>
        <v>34.4</v>
      </c>
      <c r="T20" s="42">
        <f t="shared" si="6"/>
        <v>429.79999999999995</v>
      </c>
      <c r="U20" s="24">
        <f>T20-'[1]2020'!$AP16</f>
        <v>0</v>
      </c>
    </row>
    <row r="21" spans="1:21" s="24" customFormat="1" ht="15.75">
      <c r="A21" s="31">
        <v>14</v>
      </c>
      <c r="B21" s="22" t="s">
        <v>12</v>
      </c>
      <c r="C21" s="100">
        <v>10959</v>
      </c>
      <c r="D21" s="73"/>
      <c r="E21" s="73"/>
      <c r="F21" s="74"/>
      <c r="G21" s="38">
        <v>4725</v>
      </c>
      <c r="H21" s="58">
        <f t="shared" si="0"/>
        <v>2.319</v>
      </c>
      <c r="I21" s="29">
        <f t="shared" si="1"/>
        <v>0</v>
      </c>
      <c r="J21" s="29">
        <f t="shared" si="2"/>
        <v>0</v>
      </c>
      <c r="K21" s="29">
        <f t="shared" si="3"/>
        <v>0</v>
      </c>
      <c r="L21" s="75">
        <v>82</v>
      </c>
      <c r="M21" s="75">
        <v>4</v>
      </c>
      <c r="N21" s="75"/>
      <c r="O21" s="38">
        <v>4725</v>
      </c>
      <c r="P21" s="58">
        <f t="shared" si="4"/>
        <v>2.319</v>
      </c>
      <c r="Q21" s="42">
        <f>ROUND((L21)*O21/1000*P21,1)+0.2</f>
        <v>898.7</v>
      </c>
      <c r="R21" s="42">
        <f t="shared" si="5"/>
        <v>43.8</v>
      </c>
      <c r="S21" s="42">
        <f t="shared" si="7"/>
        <v>0</v>
      </c>
      <c r="T21" s="42">
        <f t="shared" si="6"/>
        <v>942.5</v>
      </c>
      <c r="U21" s="24">
        <f>T21-'[1]2020'!$AP17</f>
        <v>0</v>
      </c>
    </row>
    <row r="22" spans="1:21" s="24" customFormat="1" ht="15.75">
      <c r="A22" s="30">
        <v>15</v>
      </c>
      <c r="B22" s="22" t="s">
        <v>13</v>
      </c>
      <c r="C22" s="100">
        <v>17611</v>
      </c>
      <c r="D22" s="73"/>
      <c r="E22" s="73"/>
      <c r="F22" s="74"/>
      <c r="G22" s="38">
        <v>4725</v>
      </c>
      <c r="H22" s="58">
        <f t="shared" si="0"/>
        <v>3.727</v>
      </c>
      <c r="I22" s="29">
        <f t="shared" si="1"/>
        <v>0</v>
      </c>
      <c r="J22" s="29">
        <f t="shared" si="2"/>
        <v>0</v>
      </c>
      <c r="K22" s="29">
        <f t="shared" si="3"/>
        <v>0</v>
      </c>
      <c r="L22" s="75">
        <v>45</v>
      </c>
      <c r="M22" s="75"/>
      <c r="N22" s="75"/>
      <c r="O22" s="38">
        <v>4725</v>
      </c>
      <c r="P22" s="58">
        <f t="shared" si="4"/>
        <v>3.727</v>
      </c>
      <c r="Q22" s="42">
        <f t="shared" si="8"/>
        <v>792.5</v>
      </c>
      <c r="R22" s="42">
        <f t="shared" si="5"/>
        <v>0</v>
      </c>
      <c r="S22" s="42">
        <f t="shared" si="7"/>
        <v>0</v>
      </c>
      <c r="T22" s="42">
        <f t="shared" si="6"/>
        <v>792.5</v>
      </c>
      <c r="U22" s="24">
        <f>T22-'[1]2020'!$AP18</f>
        <v>0</v>
      </c>
    </row>
    <row r="23" spans="1:21" s="24" customFormat="1" ht="15.75">
      <c r="A23" s="31">
        <v>16</v>
      </c>
      <c r="B23" s="22" t="s">
        <v>14</v>
      </c>
      <c r="C23" s="100">
        <v>15417</v>
      </c>
      <c r="D23" s="73"/>
      <c r="E23" s="73"/>
      <c r="F23" s="74"/>
      <c r="G23" s="38">
        <v>4725</v>
      </c>
      <c r="H23" s="58">
        <f t="shared" si="0"/>
        <v>3.263</v>
      </c>
      <c r="I23" s="29">
        <f t="shared" si="1"/>
        <v>0</v>
      </c>
      <c r="J23" s="29">
        <f t="shared" si="2"/>
        <v>0</v>
      </c>
      <c r="K23" s="29">
        <f t="shared" si="3"/>
        <v>0</v>
      </c>
      <c r="L23" s="75">
        <v>50</v>
      </c>
      <c r="M23" s="75"/>
      <c r="N23" s="75"/>
      <c r="O23" s="38">
        <v>4725</v>
      </c>
      <c r="P23" s="58">
        <f t="shared" si="4"/>
        <v>3.263</v>
      </c>
      <c r="Q23" s="42">
        <f t="shared" si="8"/>
        <v>770.9</v>
      </c>
      <c r="R23" s="42">
        <f t="shared" si="5"/>
        <v>0</v>
      </c>
      <c r="S23" s="42">
        <f t="shared" si="7"/>
        <v>0</v>
      </c>
      <c r="T23" s="42">
        <f t="shared" si="6"/>
        <v>770.9</v>
      </c>
      <c r="U23" s="24">
        <f>T23-'[1]2020'!$AP19</f>
        <v>0</v>
      </c>
    </row>
    <row r="24" spans="1:21" s="26" customFormat="1" ht="16.5" customHeight="1">
      <c r="A24" s="32">
        <v>17</v>
      </c>
      <c r="B24" s="25" t="s">
        <v>15</v>
      </c>
      <c r="C24" s="103">
        <v>13556</v>
      </c>
      <c r="D24" s="82"/>
      <c r="E24" s="82"/>
      <c r="F24" s="83"/>
      <c r="G24" s="38">
        <v>4725</v>
      </c>
      <c r="H24" s="58">
        <f t="shared" si="0"/>
        <v>2.869</v>
      </c>
      <c r="I24" s="29">
        <f t="shared" si="1"/>
        <v>0</v>
      </c>
      <c r="J24" s="29">
        <f t="shared" si="2"/>
        <v>0</v>
      </c>
      <c r="K24" s="29">
        <f t="shared" si="3"/>
        <v>0</v>
      </c>
      <c r="L24" s="75">
        <v>63</v>
      </c>
      <c r="M24" s="75"/>
      <c r="N24" s="75">
        <v>1</v>
      </c>
      <c r="O24" s="38">
        <v>4725</v>
      </c>
      <c r="P24" s="58">
        <f t="shared" si="4"/>
        <v>2.869</v>
      </c>
      <c r="Q24" s="42">
        <f t="shared" si="8"/>
        <v>854</v>
      </c>
      <c r="R24" s="42">
        <f t="shared" si="5"/>
        <v>0</v>
      </c>
      <c r="S24" s="42">
        <f t="shared" si="7"/>
        <v>13.6</v>
      </c>
      <c r="T24" s="42">
        <f t="shared" si="6"/>
        <v>867.6</v>
      </c>
      <c r="U24" s="24">
        <f>T24-'[1]2020'!$AP20</f>
        <v>0</v>
      </c>
    </row>
    <row r="25" spans="1:21" s="24" customFormat="1" ht="19.5" customHeight="1">
      <c r="A25" s="31">
        <v>18</v>
      </c>
      <c r="B25" s="22" t="s">
        <v>26</v>
      </c>
      <c r="C25" s="104">
        <v>33700</v>
      </c>
      <c r="D25" s="84"/>
      <c r="E25" s="84"/>
      <c r="F25" s="85"/>
      <c r="G25" s="38">
        <v>4725</v>
      </c>
      <c r="H25" s="58">
        <f t="shared" si="0"/>
        <v>7.132</v>
      </c>
      <c r="I25" s="29">
        <f t="shared" si="1"/>
        <v>0</v>
      </c>
      <c r="J25" s="29">
        <f t="shared" si="2"/>
        <v>0</v>
      </c>
      <c r="K25" s="29">
        <f t="shared" si="3"/>
        <v>0</v>
      </c>
      <c r="L25" s="75">
        <v>18</v>
      </c>
      <c r="M25" s="75"/>
      <c r="N25" s="75"/>
      <c r="O25" s="38">
        <v>4725</v>
      </c>
      <c r="P25" s="58">
        <f t="shared" si="4"/>
        <v>7.132</v>
      </c>
      <c r="Q25" s="42">
        <f t="shared" si="8"/>
        <v>606.6</v>
      </c>
      <c r="R25" s="42">
        <f t="shared" si="5"/>
        <v>0</v>
      </c>
      <c r="S25" s="42">
        <f t="shared" si="7"/>
        <v>0</v>
      </c>
      <c r="T25" s="42">
        <f t="shared" si="6"/>
        <v>606.6</v>
      </c>
      <c r="U25" s="24">
        <f>T25-'[1]2020'!$AP21</f>
        <v>0</v>
      </c>
    </row>
    <row r="26" spans="1:21" s="24" customFormat="1" ht="19.5" customHeight="1">
      <c r="A26" s="30">
        <v>19</v>
      </c>
      <c r="B26" s="22" t="s">
        <v>27</v>
      </c>
      <c r="C26" s="104">
        <v>79256</v>
      </c>
      <c r="D26" s="84"/>
      <c r="E26" s="84"/>
      <c r="F26" s="85"/>
      <c r="G26" s="38">
        <v>4725</v>
      </c>
      <c r="H26" s="58">
        <f t="shared" si="0"/>
        <v>16.774</v>
      </c>
      <c r="I26" s="29">
        <f t="shared" si="1"/>
        <v>0</v>
      </c>
      <c r="J26" s="29">
        <f t="shared" si="2"/>
        <v>0</v>
      </c>
      <c r="K26" s="29">
        <f t="shared" si="3"/>
        <v>0</v>
      </c>
      <c r="L26" s="75">
        <v>8</v>
      </c>
      <c r="M26" s="75"/>
      <c r="N26" s="75"/>
      <c r="O26" s="38">
        <v>4725</v>
      </c>
      <c r="P26" s="58">
        <f t="shared" si="4"/>
        <v>16.774</v>
      </c>
      <c r="Q26" s="42">
        <f t="shared" si="8"/>
        <v>634.1</v>
      </c>
      <c r="R26" s="42">
        <f t="shared" si="5"/>
        <v>0</v>
      </c>
      <c r="S26" s="42">
        <f t="shared" si="7"/>
        <v>0</v>
      </c>
      <c r="T26" s="42">
        <f t="shared" si="6"/>
        <v>634.1</v>
      </c>
      <c r="U26" s="24">
        <f>T26-'[1]2020'!$AP22</f>
        <v>0</v>
      </c>
    </row>
    <row r="27" spans="1:21" s="24" customFormat="1" ht="18" customHeight="1">
      <c r="A27" s="31">
        <v>20</v>
      </c>
      <c r="B27" s="22" t="s">
        <v>28</v>
      </c>
      <c r="C27" s="104">
        <v>52213</v>
      </c>
      <c r="D27" s="84"/>
      <c r="E27" s="84"/>
      <c r="F27" s="85"/>
      <c r="G27" s="38">
        <v>4725</v>
      </c>
      <c r="H27" s="58">
        <f t="shared" si="0"/>
        <v>11.05</v>
      </c>
      <c r="I27" s="29">
        <f t="shared" si="1"/>
        <v>0</v>
      </c>
      <c r="J27" s="29">
        <f t="shared" si="2"/>
        <v>0</v>
      </c>
      <c r="K27" s="29">
        <f t="shared" si="3"/>
        <v>0</v>
      </c>
      <c r="L27" s="75">
        <v>12</v>
      </c>
      <c r="M27" s="75"/>
      <c r="N27" s="75"/>
      <c r="O27" s="38">
        <v>4725</v>
      </c>
      <c r="P27" s="58">
        <f t="shared" si="4"/>
        <v>11.05</v>
      </c>
      <c r="Q27" s="42">
        <f>ROUND((L27)*O27/1000*P27,1)+0.1</f>
        <v>626.6</v>
      </c>
      <c r="R27" s="42">
        <f t="shared" si="5"/>
        <v>0</v>
      </c>
      <c r="S27" s="42">
        <f t="shared" si="7"/>
        <v>0</v>
      </c>
      <c r="T27" s="42">
        <f t="shared" si="6"/>
        <v>626.6</v>
      </c>
      <c r="U27" s="24">
        <f>T27-'[1]2020'!$AP23</f>
        <v>0</v>
      </c>
    </row>
    <row r="28" spans="1:21" s="24" customFormat="1" ht="18.75" customHeight="1">
      <c r="A28" s="30">
        <v>21</v>
      </c>
      <c r="B28" s="22" t="s">
        <v>29</v>
      </c>
      <c r="C28" s="104">
        <v>22952</v>
      </c>
      <c r="D28" s="84"/>
      <c r="E28" s="84"/>
      <c r="F28" s="85"/>
      <c r="G28" s="38">
        <v>4725</v>
      </c>
      <c r="H28" s="58">
        <f t="shared" si="0"/>
        <v>4.858</v>
      </c>
      <c r="I28" s="29">
        <f t="shared" si="1"/>
        <v>0</v>
      </c>
      <c r="J28" s="29">
        <f t="shared" si="2"/>
        <v>0</v>
      </c>
      <c r="K28" s="29">
        <f t="shared" si="3"/>
        <v>0</v>
      </c>
      <c r="L28" s="75">
        <v>26</v>
      </c>
      <c r="M28" s="75"/>
      <c r="N28" s="75">
        <v>1</v>
      </c>
      <c r="O28" s="38">
        <v>4725</v>
      </c>
      <c r="P28" s="58">
        <f t="shared" si="4"/>
        <v>4.858</v>
      </c>
      <c r="Q28" s="42">
        <f>ROUND((L28)*O28/1000*P28,1)-0.1</f>
        <v>596.6999999999999</v>
      </c>
      <c r="R28" s="42">
        <f t="shared" si="5"/>
        <v>0</v>
      </c>
      <c r="S28" s="42">
        <f t="shared" si="7"/>
        <v>23</v>
      </c>
      <c r="T28" s="42">
        <f t="shared" si="6"/>
        <v>619.6999999999999</v>
      </c>
      <c r="U28" s="24">
        <f>T28-'[1]2020'!$AP24</f>
        <v>0</v>
      </c>
    </row>
    <row r="29" spans="1:21" s="24" customFormat="1" ht="15.75">
      <c r="A29" s="31">
        <v>22</v>
      </c>
      <c r="B29" s="22" t="s">
        <v>16</v>
      </c>
      <c r="C29" s="99">
        <v>10926</v>
      </c>
      <c r="D29" s="70"/>
      <c r="E29" s="70"/>
      <c r="F29" s="71"/>
      <c r="G29" s="38">
        <v>4725</v>
      </c>
      <c r="H29" s="58">
        <f t="shared" si="0"/>
        <v>2.312</v>
      </c>
      <c r="I29" s="29">
        <f t="shared" si="1"/>
        <v>0</v>
      </c>
      <c r="J29" s="29">
        <f t="shared" si="2"/>
        <v>0</v>
      </c>
      <c r="K29" s="29">
        <f t="shared" si="3"/>
        <v>0</v>
      </c>
      <c r="L29" s="72">
        <v>92</v>
      </c>
      <c r="M29" s="72">
        <v>3</v>
      </c>
      <c r="N29" s="72"/>
      <c r="O29" s="38">
        <v>4725</v>
      </c>
      <c r="P29" s="58">
        <f t="shared" si="4"/>
        <v>2.312</v>
      </c>
      <c r="Q29" s="42">
        <f>ROUND((L29)*O29/1000*P29,1)+0.2</f>
        <v>1005.2</v>
      </c>
      <c r="R29" s="42">
        <f t="shared" si="5"/>
        <v>32.8</v>
      </c>
      <c r="S29" s="42">
        <f t="shared" si="7"/>
        <v>0</v>
      </c>
      <c r="T29" s="42">
        <f t="shared" si="6"/>
        <v>1038</v>
      </c>
      <c r="U29" s="24">
        <f>T29-'[1]2020'!$AP25</f>
        <v>0</v>
      </c>
    </row>
    <row r="30" spans="1:21" s="24" customFormat="1" ht="15.75">
      <c r="A30" s="30">
        <v>23</v>
      </c>
      <c r="B30" s="22" t="s">
        <v>17</v>
      </c>
      <c r="C30" s="100">
        <v>11240</v>
      </c>
      <c r="D30" s="73"/>
      <c r="E30" s="73"/>
      <c r="F30" s="74"/>
      <c r="G30" s="38">
        <v>4725</v>
      </c>
      <c r="H30" s="58">
        <f t="shared" si="0"/>
        <v>2.379</v>
      </c>
      <c r="I30" s="29">
        <f t="shared" si="1"/>
        <v>0</v>
      </c>
      <c r="J30" s="29">
        <f t="shared" si="2"/>
        <v>0</v>
      </c>
      <c r="K30" s="29">
        <f t="shared" si="3"/>
        <v>0</v>
      </c>
      <c r="L30" s="75">
        <v>90</v>
      </c>
      <c r="M30" s="75">
        <v>1</v>
      </c>
      <c r="N30" s="75"/>
      <c r="O30" s="38">
        <v>4725</v>
      </c>
      <c r="P30" s="58">
        <f t="shared" si="4"/>
        <v>2.379</v>
      </c>
      <c r="Q30" s="42">
        <f>ROUND((L30)*O30/1000*P30,1)-0.1</f>
        <v>1011.6</v>
      </c>
      <c r="R30" s="42">
        <f t="shared" si="5"/>
        <v>11.2</v>
      </c>
      <c r="S30" s="42">
        <f t="shared" si="7"/>
        <v>0</v>
      </c>
      <c r="T30" s="42">
        <f t="shared" si="6"/>
        <v>1022.8000000000001</v>
      </c>
      <c r="U30" s="24">
        <f>T30-'[1]2020'!$AP26</f>
        <v>0</v>
      </c>
    </row>
    <row r="31" spans="1:21" s="26" customFormat="1" ht="18" customHeight="1">
      <c r="A31" s="31">
        <v>24</v>
      </c>
      <c r="B31" s="25" t="s">
        <v>18</v>
      </c>
      <c r="C31" s="104">
        <v>10289</v>
      </c>
      <c r="D31" s="84">
        <v>21</v>
      </c>
      <c r="E31" s="73"/>
      <c r="F31" s="74"/>
      <c r="G31" s="38">
        <v>4725</v>
      </c>
      <c r="H31" s="58">
        <f t="shared" si="0"/>
        <v>2.178</v>
      </c>
      <c r="I31" s="29">
        <f t="shared" si="1"/>
        <v>216.1</v>
      </c>
      <c r="J31" s="29">
        <f t="shared" si="2"/>
        <v>0</v>
      </c>
      <c r="K31" s="29">
        <f t="shared" si="3"/>
        <v>0</v>
      </c>
      <c r="L31" s="75">
        <v>93</v>
      </c>
      <c r="M31" s="75">
        <v>2</v>
      </c>
      <c r="N31" s="75">
        <v>1</v>
      </c>
      <c r="O31" s="38">
        <v>4725</v>
      </c>
      <c r="P31" s="58">
        <f t="shared" si="4"/>
        <v>2.178</v>
      </c>
      <c r="Q31" s="42">
        <f>ROUND((L31)*O31/1000*P31,1)-0.3</f>
        <v>956.8000000000001</v>
      </c>
      <c r="R31" s="42">
        <f t="shared" si="5"/>
        <v>20.6</v>
      </c>
      <c r="S31" s="42">
        <f t="shared" si="7"/>
        <v>10.3</v>
      </c>
      <c r="T31" s="42">
        <f t="shared" si="6"/>
        <v>1203.8</v>
      </c>
      <c r="U31" s="24">
        <f>T31-'[1]2020'!$AP27</f>
        <v>0</v>
      </c>
    </row>
    <row r="32" spans="1:21" s="24" customFormat="1" ht="15.75">
      <c r="A32" s="30">
        <v>25</v>
      </c>
      <c r="B32" s="22" t="s">
        <v>19</v>
      </c>
      <c r="C32" s="100">
        <v>8725</v>
      </c>
      <c r="D32" s="73">
        <v>18</v>
      </c>
      <c r="E32" s="73"/>
      <c r="F32" s="74"/>
      <c r="G32" s="38">
        <v>4725</v>
      </c>
      <c r="H32" s="58">
        <f t="shared" si="0"/>
        <v>1.847</v>
      </c>
      <c r="I32" s="29">
        <f t="shared" si="1"/>
        <v>157.1</v>
      </c>
      <c r="J32" s="29">
        <f t="shared" si="2"/>
        <v>0</v>
      </c>
      <c r="K32" s="29">
        <f t="shared" si="3"/>
        <v>0</v>
      </c>
      <c r="L32" s="75">
        <v>118</v>
      </c>
      <c r="M32" s="75">
        <v>1</v>
      </c>
      <c r="N32" s="75"/>
      <c r="O32" s="38">
        <v>4725</v>
      </c>
      <c r="P32" s="58">
        <f t="shared" si="4"/>
        <v>1.847</v>
      </c>
      <c r="Q32" s="42">
        <f>ROUND((L32)*O32/1000*P32,1)-0.2</f>
        <v>1029.6</v>
      </c>
      <c r="R32" s="42">
        <f t="shared" si="5"/>
        <v>8.7</v>
      </c>
      <c r="S32" s="42">
        <f t="shared" si="7"/>
        <v>0</v>
      </c>
      <c r="T32" s="42">
        <f t="shared" si="6"/>
        <v>1195.3999999999999</v>
      </c>
      <c r="U32" s="24">
        <f>T32-'[1]2020'!$AP28</f>
        <v>0</v>
      </c>
    </row>
    <row r="33" spans="1:21" s="24" customFormat="1" ht="15.75">
      <c r="A33" s="31">
        <v>26</v>
      </c>
      <c r="B33" s="22" t="s">
        <v>20</v>
      </c>
      <c r="C33" s="105">
        <v>10106</v>
      </c>
      <c r="D33" s="86">
        <v>24</v>
      </c>
      <c r="E33" s="86"/>
      <c r="F33" s="87"/>
      <c r="G33" s="38">
        <v>4725</v>
      </c>
      <c r="H33" s="58">
        <f t="shared" si="0"/>
        <v>2.139</v>
      </c>
      <c r="I33" s="29">
        <f t="shared" si="1"/>
        <v>242.6</v>
      </c>
      <c r="J33" s="29">
        <f t="shared" si="2"/>
        <v>0</v>
      </c>
      <c r="K33" s="29">
        <f t="shared" si="3"/>
        <v>0</v>
      </c>
      <c r="L33" s="88">
        <v>109</v>
      </c>
      <c r="M33" s="88">
        <v>3</v>
      </c>
      <c r="N33" s="88"/>
      <c r="O33" s="38">
        <v>4725</v>
      </c>
      <c r="P33" s="58">
        <f t="shared" si="4"/>
        <v>2.139</v>
      </c>
      <c r="Q33" s="42">
        <f>ROUND((L33)*O33/1000*P33,1)-0.1</f>
        <v>1101.5</v>
      </c>
      <c r="R33" s="42">
        <f t="shared" si="5"/>
        <v>30.3</v>
      </c>
      <c r="S33" s="42">
        <f t="shared" si="7"/>
        <v>0</v>
      </c>
      <c r="T33" s="42">
        <f t="shared" si="6"/>
        <v>1374.3999999999999</v>
      </c>
      <c r="U33" s="24">
        <f>T33-'[1]2020'!$AP29</f>
        <v>0</v>
      </c>
    </row>
    <row r="34" spans="1:21" s="24" customFormat="1" ht="15.75">
      <c r="A34" s="30">
        <v>27</v>
      </c>
      <c r="B34" s="22" t="s">
        <v>30</v>
      </c>
      <c r="C34" s="100">
        <v>30253</v>
      </c>
      <c r="D34" s="73"/>
      <c r="E34" s="73"/>
      <c r="F34" s="74"/>
      <c r="G34" s="38">
        <v>4725</v>
      </c>
      <c r="H34" s="58">
        <f t="shared" si="0"/>
        <v>6.403</v>
      </c>
      <c r="I34" s="29">
        <f t="shared" si="1"/>
        <v>0</v>
      </c>
      <c r="J34" s="29">
        <f t="shared" si="2"/>
        <v>0</v>
      </c>
      <c r="K34" s="29">
        <f t="shared" si="3"/>
        <v>0</v>
      </c>
      <c r="L34" s="75">
        <v>20</v>
      </c>
      <c r="M34" s="75"/>
      <c r="N34" s="75"/>
      <c r="O34" s="38">
        <v>4725</v>
      </c>
      <c r="P34" s="58">
        <f t="shared" si="4"/>
        <v>6.403</v>
      </c>
      <c r="Q34" s="42">
        <f t="shared" si="8"/>
        <v>605.1</v>
      </c>
      <c r="R34" s="42">
        <f t="shared" si="5"/>
        <v>0</v>
      </c>
      <c r="S34" s="42">
        <f t="shared" si="7"/>
        <v>0</v>
      </c>
      <c r="T34" s="42">
        <f t="shared" si="6"/>
        <v>605.1</v>
      </c>
      <c r="U34" s="24">
        <f>T34-'[1]2020'!$AP30</f>
        <v>0</v>
      </c>
    </row>
    <row r="35" spans="1:21" s="24" customFormat="1" ht="15.75">
      <c r="A35" s="31">
        <v>28</v>
      </c>
      <c r="B35" s="22" t="s">
        <v>31</v>
      </c>
      <c r="C35" s="100">
        <v>25764</v>
      </c>
      <c r="D35" s="73"/>
      <c r="E35" s="73"/>
      <c r="F35" s="74"/>
      <c r="G35" s="38">
        <v>4725</v>
      </c>
      <c r="H35" s="58">
        <f t="shared" si="0"/>
        <v>5.453</v>
      </c>
      <c r="I35" s="29">
        <f t="shared" si="1"/>
        <v>0</v>
      </c>
      <c r="J35" s="29">
        <f t="shared" si="2"/>
        <v>0</v>
      </c>
      <c r="K35" s="29">
        <f t="shared" si="3"/>
        <v>0</v>
      </c>
      <c r="L35" s="75">
        <v>18</v>
      </c>
      <c r="M35" s="75"/>
      <c r="N35" s="75"/>
      <c r="O35" s="38">
        <v>4725</v>
      </c>
      <c r="P35" s="58">
        <f t="shared" si="4"/>
        <v>5.453</v>
      </c>
      <c r="Q35" s="42">
        <f t="shared" si="8"/>
        <v>463.8</v>
      </c>
      <c r="R35" s="42">
        <f t="shared" si="5"/>
        <v>0</v>
      </c>
      <c r="S35" s="42">
        <f t="shared" si="7"/>
        <v>0</v>
      </c>
      <c r="T35" s="42">
        <f t="shared" si="6"/>
        <v>463.8</v>
      </c>
      <c r="U35" s="24">
        <f>T35-'[1]2020'!$AP31</f>
        <v>0</v>
      </c>
    </row>
    <row r="36" spans="1:21" s="24" customFormat="1" ht="15.75">
      <c r="A36" s="30">
        <v>29</v>
      </c>
      <c r="B36" s="22" t="s">
        <v>21</v>
      </c>
      <c r="C36" s="100">
        <v>9639</v>
      </c>
      <c r="D36" s="73"/>
      <c r="E36" s="73"/>
      <c r="F36" s="74"/>
      <c r="G36" s="38">
        <v>4725</v>
      </c>
      <c r="H36" s="58">
        <f t="shared" si="0"/>
        <v>2.04</v>
      </c>
      <c r="I36" s="29">
        <f t="shared" si="1"/>
        <v>0</v>
      </c>
      <c r="J36" s="29">
        <f t="shared" si="2"/>
        <v>0</v>
      </c>
      <c r="K36" s="29">
        <f t="shared" si="3"/>
        <v>0</v>
      </c>
      <c r="L36" s="75">
        <v>62</v>
      </c>
      <c r="M36" s="75"/>
      <c r="N36" s="75"/>
      <c r="O36" s="38">
        <v>4725</v>
      </c>
      <c r="P36" s="58">
        <f t="shared" si="4"/>
        <v>2.04</v>
      </c>
      <c r="Q36" s="42">
        <f t="shared" si="8"/>
        <v>597.6</v>
      </c>
      <c r="R36" s="42">
        <f t="shared" si="5"/>
        <v>0</v>
      </c>
      <c r="S36" s="42">
        <f t="shared" si="7"/>
        <v>0</v>
      </c>
      <c r="T36" s="42">
        <f t="shared" si="6"/>
        <v>597.6</v>
      </c>
      <c r="U36" s="24">
        <f>T36-'[1]2020'!$AP32</f>
        <v>0</v>
      </c>
    </row>
    <row r="37" spans="1:21" s="24" customFormat="1" ht="15.75">
      <c r="A37" s="31">
        <v>30</v>
      </c>
      <c r="B37" s="22" t="s">
        <v>32</v>
      </c>
      <c r="C37" s="101">
        <v>56683</v>
      </c>
      <c r="D37" s="77"/>
      <c r="E37" s="77"/>
      <c r="F37" s="78"/>
      <c r="G37" s="38">
        <v>4725</v>
      </c>
      <c r="H37" s="58">
        <f t="shared" si="0"/>
        <v>11.996</v>
      </c>
      <c r="I37" s="29">
        <f t="shared" si="1"/>
        <v>0</v>
      </c>
      <c r="J37" s="29">
        <f t="shared" si="2"/>
        <v>0</v>
      </c>
      <c r="K37" s="29">
        <f t="shared" si="3"/>
        <v>0</v>
      </c>
      <c r="L37" s="75">
        <v>12</v>
      </c>
      <c r="M37" s="75"/>
      <c r="N37" s="75"/>
      <c r="O37" s="38">
        <v>4725</v>
      </c>
      <c r="P37" s="58">
        <f t="shared" si="4"/>
        <v>11.996</v>
      </c>
      <c r="Q37" s="42">
        <f t="shared" si="8"/>
        <v>680.2</v>
      </c>
      <c r="R37" s="42">
        <f t="shared" si="5"/>
        <v>0</v>
      </c>
      <c r="S37" s="42">
        <f t="shared" si="7"/>
        <v>0</v>
      </c>
      <c r="T37" s="42">
        <f t="shared" si="6"/>
        <v>680.2</v>
      </c>
      <c r="U37" s="24">
        <f>T37-'[1]2020'!$AP33</f>
        <v>0</v>
      </c>
    </row>
    <row r="38" spans="1:21" s="24" customFormat="1" ht="17.25" customHeight="1">
      <c r="A38" s="30">
        <v>31</v>
      </c>
      <c r="B38" s="22" t="s">
        <v>33</v>
      </c>
      <c r="C38" s="101">
        <v>22139</v>
      </c>
      <c r="D38" s="77"/>
      <c r="E38" s="77"/>
      <c r="F38" s="78"/>
      <c r="G38" s="38">
        <v>4725</v>
      </c>
      <c r="H38" s="58">
        <f t="shared" si="0"/>
        <v>4.686</v>
      </c>
      <c r="I38" s="29">
        <f t="shared" si="1"/>
        <v>0</v>
      </c>
      <c r="J38" s="29">
        <f t="shared" si="2"/>
        <v>0</v>
      </c>
      <c r="K38" s="29">
        <f t="shared" si="3"/>
        <v>0</v>
      </c>
      <c r="L38" s="75">
        <v>28</v>
      </c>
      <c r="M38" s="75">
        <v>3</v>
      </c>
      <c r="N38" s="75"/>
      <c r="O38" s="38">
        <v>4725</v>
      </c>
      <c r="P38" s="58">
        <f t="shared" si="4"/>
        <v>4.686</v>
      </c>
      <c r="Q38" s="42">
        <f>ROUND((L38)*O38/1000*P38,1)-0.1</f>
        <v>619.9</v>
      </c>
      <c r="R38" s="42">
        <f t="shared" si="5"/>
        <v>66.4</v>
      </c>
      <c r="S38" s="42">
        <f t="shared" si="7"/>
        <v>0</v>
      </c>
      <c r="T38" s="42">
        <f t="shared" si="6"/>
        <v>686.3</v>
      </c>
      <c r="U38" s="24">
        <f>T38-'[1]2020'!$AP34</f>
        <v>0</v>
      </c>
    </row>
    <row r="39" spans="1:21" s="24" customFormat="1" ht="15.75">
      <c r="A39" s="31">
        <v>32</v>
      </c>
      <c r="B39" s="22" t="s">
        <v>34</v>
      </c>
      <c r="C39" s="100">
        <v>4725</v>
      </c>
      <c r="D39" s="73"/>
      <c r="E39" s="73"/>
      <c r="F39" s="74"/>
      <c r="G39" s="38">
        <v>4725</v>
      </c>
      <c r="H39" s="58">
        <f t="shared" si="0"/>
        <v>1</v>
      </c>
      <c r="I39" s="29">
        <f t="shared" si="1"/>
        <v>0</v>
      </c>
      <c r="J39" s="29">
        <f t="shared" si="2"/>
        <v>0</v>
      </c>
      <c r="K39" s="29">
        <f t="shared" si="3"/>
        <v>0</v>
      </c>
      <c r="L39" s="75">
        <v>26</v>
      </c>
      <c r="M39" s="75"/>
      <c r="N39" s="75"/>
      <c r="O39" s="38">
        <v>4725</v>
      </c>
      <c r="P39" s="58">
        <f t="shared" si="4"/>
        <v>1</v>
      </c>
      <c r="Q39" s="42">
        <f t="shared" si="8"/>
        <v>122.9</v>
      </c>
      <c r="R39" s="42">
        <f t="shared" si="5"/>
        <v>0</v>
      </c>
      <c r="S39" s="42">
        <f t="shared" si="7"/>
        <v>0</v>
      </c>
      <c r="T39" s="42">
        <f t="shared" si="6"/>
        <v>122.9</v>
      </c>
      <c r="U39" s="24">
        <f>T39-'[1]2020'!$AP35</f>
        <v>0</v>
      </c>
    </row>
    <row r="40" spans="1:21" s="24" customFormat="1" ht="15.75">
      <c r="A40" s="30">
        <v>33</v>
      </c>
      <c r="B40" s="22" t="s">
        <v>35</v>
      </c>
      <c r="C40" s="100">
        <v>30281</v>
      </c>
      <c r="D40" s="73"/>
      <c r="E40" s="73"/>
      <c r="F40" s="74"/>
      <c r="G40" s="38">
        <v>4725</v>
      </c>
      <c r="H40" s="58">
        <f t="shared" si="0"/>
        <v>6.409</v>
      </c>
      <c r="I40" s="29">
        <f t="shared" si="1"/>
        <v>0</v>
      </c>
      <c r="J40" s="29">
        <f t="shared" si="2"/>
        <v>0</v>
      </c>
      <c r="K40" s="29">
        <f t="shared" si="3"/>
        <v>0</v>
      </c>
      <c r="L40" s="75">
        <v>32</v>
      </c>
      <c r="M40" s="75"/>
      <c r="N40" s="75">
        <v>2</v>
      </c>
      <c r="O40" s="38">
        <v>4725</v>
      </c>
      <c r="P40" s="58">
        <f t="shared" si="4"/>
        <v>6.409</v>
      </c>
      <c r="Q40" s="42">
        <f t="shared" si="8"/>
        <v>969</v>
      </c>
      <c r="R40" s="42">
        <f t="shared" si="5"/>
        <v>0</v>
      </c>
      <c r="S40" s="42">
        <f t="shared" si="7"/>
        <v>60.6</v>
      </c>
      <c r="T40" s="42">
        <f t="shared" si="6"/>
        <v>1029.6</v>
      </c>
      <c r="U40" s="24">
        <f>T40-'[1]2020'!$AP36</f>
        <v>0</v>
      </c>
    </row>
    <row r="41" spans="1:21" s="26" customFormat="1" ht="16.5" customHeight="1">
      <c r="A41" s="33">
        <v>34</v>
      </c>
      <c r="B41" s="25" t="s">
        <v>36</v>
      </c>
      <c r="C41" s="104">
        <v>16839</v>
      </c>
      <c r="D41" s="84"/>
      <c r="E41" s="73"/>
      <c r="F41" s="74"/>
      <c r="G41" s="38">
        <v>4725</v>
      </c>
      <c r="H41" s="58">
        <f t="shared" si="0"/>
        <v>3.564</v>
      </c>
      <c r="I41" s="29">
        <f t="shared" si="1"/>
        <v>0</v>
      </c>
      <c r="J41" s="29">
        <f t="shared" si="2"/>
        <v>0</v>
      </c>
      <c r="K41" s="29">
        <f t="shared" si="3"/>
        <v>0</v>
      </c>
      <c r="L41" s="75">
        <v>22</v>
      </c>
      <c r="M41" s="75"/>
      <c r="N41" s="75"/>
      <c r="O41" s="38">
        <v>4725</v>
      </c>
      <c r="P41" s="58">
        <f t="shared" si="4"/>
        <v>3.564</v>
      </c>
      <c r="Q41" s="42">
        <f t="shared" si="8"/>
        <v>370.5</v>
      </c>
      <c r="R41" s="42">
        <f t="shared" si="5"/>
        <v>0</v>
      </c>
      <c r="S41" s="42">
        <f t="shared" si="7"/>
        <v>0</v>
      </c>
      <c r="T41" s="42">
        <f t="shared" si="6"/>
        <v>370.5</v>
      </c>
      <c r="U41" s="24">
        <f>T41-'[1]2020'!$AP37</f>
        <v>0</v>
      </c>
    </row>
    <row r="42" spans="1:21" s="26" customFormat="1" ht="15" customHeight="1">
      <c r="A42" s="32">
        <v>35</v>
      </c>
      <c r="B42" s="25" t="s">
        <v>37</v>
      </c>
      <c r="C42" s="104">
        <v>20022</v>
      </c>
      <c r="D42" s="84"/>
      <c r="E42" s="73"/>
      <c r="F42" s="74"/>
      <c r="G42" s="38">
        <v>4725</v>
      </c>
      <c r="H42" s="58">
        <f t="shared" si="0"/>
        <v>4.237</v>
      </c>
      <c r="I42" s="29">
        <f t="shared" si="1"/>
        <v>0</v>
      </c>
      <c r="J42" s="29">
        <f t="shared" si="2"/>
        <v>0</v>
      </c>
      <c r="K42" s="29">
        <f t="shared" si="3"/>
        <v>0</v>
      </c>
      <c r="L42" s="75">
        <v>34</v>
      </c>
      <c r="M42" s="75"/>
      <c r="N42" s="75"/>
      <c r="O42" s="38">
        <v>4725</v>
      </c>
      <c r="P42" s="58">
        <f t="shared" si="4"/>
        <v>4.237</v>
      </c>
      <c r="Q42" s="42">
        <f>ROUND((L42)*O42/1000*P42,1)+0.1</f>
        <v>680.8000000000001</v>
      </c>
      <c r="R42" s="42">
        <f t="shared" si="5"/>
        <v>0</v>
      </c>
      <c r="S42" s="42">
        <f t="shared" si="7"/>
        <v>0</v>
      </c>
      <c r="T42" s="42">
        <f t="shared" si="6"/>
        <v>680.8000000000001</v>
      </c>
      <c r="U42" s="24">
        <f>T42-'[1]2020'!$AP38</f>
        <v>0</v>
      </c>
    </row>
    <row r="43" spans="1:21" s="24" customFormat="1" ht="15.75" customHeight="1">
      <c r="A43" s="31">
        <v>36</v>
      </c>
      <c r="B43" s="22" t="s">
        <v>38</v>
      </c>
      <c r="C43" s="100">
        <v>17502</v>
      </c>
      <c r="D43" s="73"/>
      <c r="E43" s="73"/>
      <c r="F43" s="74"/>
      <c r="G43" s="38">
        <v>4725</v>
      </c>
      <c r="H43" s="58">
        <f t="shared" si="0"/>
        <v>3.704</v>
      </c>
      <c r="I43" s="29">
        <f t="shared" si="1"/>
        <v>0</v>
      </c>
      <c r="J43" s="29">
        <f t="shared" si="2"/>
        <v>0</v>
      </c>
      <c r="K43" s="29">
        <f t="shared" si="3"/>
        <v>0</v>
      </c>
      <c r="L43" s="75">
        <v>63</v>
      </c>
      <c r="M43" s="75"/>
      <c r="N43" s="75"/>
      <c r="O43" s="38">
        <v>4725</v>
      </c>
      <c r="P43" s="58">
        <f t="shared" si="4"/>
        <v>3.704</v>
      </c>
      <c r="Q43" s="42">
        <f>ROUND((L43)*O43/1000*P43,1)+0.1</f>
        <v>1102.6999999999998</v>
      </c>
      <c r="R43" s="42">
        <f t="shared" si="5"/>
        <v>0</v>
      </c>
      <c r="S43" s="42">
        <f t="shared" si="7"/>
        <v>0</v>
      </c>
      <c r="T43" s="42">
        <f t="shared" si="6"/>
        <v>1102.6999999999998</v>
      </c>
      <c r="U43" s="24">
        <f>T43-'[1]2020'!$AP39</f>
        <v>0</v>
      </c>
    </row>
    <row r="44" spans="1:21" s="24" customFormat="1" ht="15.75">
      <c r="A44" s="30">
        <v>37</v>
      </c>
      <c r="B44" s="22" t="s">
        <v>39</v>
      </c>
      <c r="C44" s="100">
        <v>57429</v>
      </c>
      <c r="D44" s="73"/>
      <c r="E44" s="73"/>
      <c r="F44" s="74"/>
      <c r="G44" s="38">
        <v>4725</v>
      </c>
      <c r="H44" s="58">
        <f t="shared" si="0"/>
        <v>12.154</v>
      </c>
      <c r="I44" s="29">
        <f t="shared" si="1"/>
        <v>0</v>
      </c>
      <c r="J44" s="29">
        <f t="shared" si="2"/>
        <v>0</v>
      </c>
      <c r="K44" s="29">
        <f t="shared" si="3"/>
        <v>0</v>
      </c>
      <c r="L44" s="75">
        <v>12</v>
      </c>
      <c r="M44" s="75"/>
      <c r="N44" s="75"/>
      <c r="O44" s="38">
        <v>4725</v>
      </c>
      <c r="P44" s="58">
        <f t="shared" si="4"/>
        <v>12.154</v>
      </c>
      <c r="Q44" s="42">
        <f>ROUND((L44)*O44/1000*P44,1)+0.1</f>
        <v>689.2</v>
      </c>
      <c r="R44" s="42">
        <f t="shared" si="5"/>
        <v>0</v>
      </c>
      <c r="S44" s="42">
        <f t="shared" si="7"/>
        <v>0</v>
      </c>
      <c r="T44" s="42">
        <f t="shared" si="6"/>
        <v>689.2</v>
      </c>
      <c r="U44" s="24">
        <f>T44-'[1]2020'!$AP40</f>
        <v>0</v>
      </c>
    </row>
    <row r="45" spans="1:21" s="24" customFormat="1" ht="15.75">
      <c r="A45" s="31">
        <v>38</v>
      </c>
      <c r="B45" s="22" t="s">
        <v>22</v>
      </c>
      <c r="C45" s="89">
        <v>16854</v>
      </c>
      <c r="D45" s="89"/>
      <c r="E45" s="89"/>
      <c r="F45" s="89"/>
      <c r="G45" s="38">
        <v>4725</v>
      </c>
      <c r="H45" s="58">
        <f t="shared" si="0"/>
        <v>3.567</v>
      </c>
      <c r="I45" s="29">
        <f t="shared" si="1"/>
        <v>0</v>
      </c>
      <c r="J45" s="29">
        <f t="shared" si="2"/>
        <v>0</v>
      </c>
      <c r="K45" s="29">
        <f t="shared" si="3"/>
        <v>0</v>
      </c>
      <c r="L45" s="89">
        <v>40</v>
      </c>
      <c r="M45" s="89"/>
      <c r="N45" s="89"/>
      <c r="O45" s="38">
        <v>4725</v>
      </c>
      <c r="P45" s="58">
        <f t="shared" si="4"/>
        <v>3.567</v>
      </c>
      <c r="Q45" s="42">
        <f t="shared" si="8"/>
        <v>674.2</v>
      </c>
      <c r="R45" s="42">
        <f t="shared" si="5"/>
        <v>0</v>
      </c>
      <c r="S45" s="42">
        <f t="shared" si="7"/>
        <v>0</v>
      </c>
      <c r="T45" s="42">
        <f t="shared" si="6"/>
        <v>674.2</v>
      </c>
      <c r="U45" s="24">
        <f>T45-'[1]2020'!$AP41</f>
        <v>0</v>
      </c>
    </row>
    <row r="46" spans="1:21" s="24" customFormat="1" ht="15.75">
      <c r="A46" s="30">
        <v>39</v>
      </c>
      <c r="B46" s="22" t="s">
        <v>40</v>
      </c>
      <c r="C46" s="100">
        <v>31393</v>
      </c>
      <c r="D46" s="73"/>
      <c r="E46" s="73"/>
      <c r="F46" s="74"/>
      <c r="G46" s="38">
        <v>4725</v>
      </c>
      <c r="H46" s="58">
        <f t="shared" si="0"/>
        <v>6.644</v>
      </c>
      <c r="I46" s="29">
        <f t="shared" si="1"/>
        <v>0</v>
      </c>
      <c r="J46" s="29">
        <f t="shared" si="2"/>
        <v>0</v>
      </c>
      <c r="K46" s="29">
        <f t="shared" si="3"/>
        <v>0</v>
      </c>
      <c r="L46" s="75">
        <v>22</v>
      </c>
      <c r="M46" s="75"/>
      <c r="N46" s="75"/>
      <c r="O46" s="38">
        <v>4725</v>
      </c>
      <c r="P46" s="58">
        <f t="shared" si="4"/>
        <v>6.644</v>
      </c>
      <c r="Q46" s="42">
        <f>ROUND((L46)*O46/1000*P46,1)+0.1</f>
        <v>690.7</v>
      </c>
      <c r="R46" s="42">
        <f t="shared" si="5"/>
        <v>0</v>
      </c>
      <c r="S46" s="42">
        <f t="shared" si="7"/>
        <v>0</v>
      </c>
      <c r="T46" s="42">
        <f t="shared" si="6"/>
        <v>690.7</v>
      </c>
      <c r="U46" s="24">
        <f>T46-'[1]2020'!$AP42</f>
        <v>0</v>
      </c>
    </row>
    <row r="47" spans="1:21" s="24" customFormat="1" ht="15.75">
      <c r="A47" s="31">
        <v>40</v>
      </c>
      <c r="B47" s="22" t="s">
        <v>41</v>
      </c>
      <c r="C47" s="100">
        <v>75286</v>
      </c>
      <c r="D47" s="73"/>
      <c r="E47" s="73"/>
      <c r="F47" s="74"/>
      <c r="G47" s="38">
        <v>4725</v>
      </c>
      <c r="H47" s="58">
        <f t="shared" si="0"/>
        <v>15.934</v>
      </c>
      <c r="I47" s="29">
        <f t="shared" si="1"/>
        <v>0</v>
      </c>
      <c r="J47" s="29">
        <f t="shared" si="2"/>
        <v>0</v>
      </c>
      <c r="K47" s="29">
        <f t="shared" si="3"/>
        <v>0</v>
      </c>
      <c r="L47" s="75">
        <v>7</v>
      </c>
      <c r="M47" s="75"/>
      <c r="N47" s="75"/>
      <c r="O47" s="38">
        <v>4725</v>
      </c>
      <c r="P47" s="58">
        <f t="shared" si="4"/>
        <v>15.934</v>
      </c>
      <c r="Q47" s="42">
        <f t="shared" si="8"/>
        <v>527</v>
      </c>
      <c r="R47" s="42">
        <f t="shared" si="5"/>
        <v>0</v>
      </c>
      <c r="S47" s="42">
        <f t="shared" si="7"/>
        <v>0</v>
      </c>
      <c r="T47" s="42">
        <f t="shared" si="6"/>
        <v>527</v>
      </c>
      <c r="U47" s="24">
        <f>T47-'[1]2020'!$AP43</f>
        <v>0</v>
      </c>
    </row>
    <row r="48" spans="1:21" s="24" customFormat="1" ht="15.75">
      <c r="A48" s="30">
        <v>41</v>
      </c>
      <c r="B48" s="22" t="s">
        <v>42</v>
      </c>
      <c r="C48" s="100">
        <v>35613</v>
      </c>
      <c r="D48" s="73"/>
      <c r="E48" s="73"/>
      <c r="F48" s="74"/>
      <c r="G48" s="38">
        <v>4725</v>
      </c>
      <c r="H48" s="58">
        <f t="shared" si="0"/>
        <v>7.537</v>
      </c>
      <c r="I48" s="29">
        <f t="shared" si="1"/>
        <v>0</v>
      </c>
      <c r="J48" s="29">
        <f t="shared" si="2"/>
        <v>0</v>
      </c>
      <c r="K48" s="29">
        <f t="shared" si="3"/>
        <v>0</v>
      </c>
      <c r="L48" s="75">
        <v>15</v>
      </c>
      <c r="M48" s="75"/>
      <c r="N48" s="75"/>
      <c r="O48" s="38">
        <v>4725</v>
      </c>
      <c r="P48" s="58">
        <f t="shared" si="4"/>
        <v>7.537</v>
      </c>
      <c r="Q48" s="42">
        <f t="shared" si="8"/>
        <v>534.2</v>
      </c>
      <c r="R48" s="42">
        <f t="shared" si="5"/>
        <v>0</v>
      </c>
      <c r="S48" s="42">
        <f t="shared" si="7"/>
        <v>0</v>
      </c>
      <c r="T48" s="42">
        <f t="shared" si="6"/>
        <v>534.2</v>
      </c>
      <c r="U48" s="24">
        <f>T48-'[1]2020'!$AP44</f>
        <v>0</v>
      </c>
    </row>
    <row r="49" spans="1:21" s="24" customFormat="1" ht="15.75">
      <c r="A49" s="31">
        <v>42</v>
      </c>
      <c r="B49" s="22" t="s">
        <v>23</v>
      </c>
      <c r="C49" s="100">
        <v>27718</v>
      </c>
      <c r="D49" s="73"/>
      <c r="E49" s="73"/>
      <c r="F49" s="74"/>
      <c r="G49" s="38">
        <v>4725</v>
      </c>
      <c r="H49" s="58">
        <f t="shared" si="0"/>
        <v>5.866</v>
      </c>
      <c r="I49" s="29">
        <f t="shared" si="1"/>
        <v>0</v>
      </c>
      <c r="J49" s="29">
        <f t="shared" si="2"/>
        <v>0</v>
      </c>
      <c r="K49" s="29">
        <f t="shared" si="3"/>
        <v>0</v>
      </c>
      <c r="L49" s="75">
        <v>17</v>
      </c>
      <c r="M49" s="75"/>
      <c r="N49" s="75"/>
      <c r="O49" s="38">
        <v>4725</v>
      </c>
      <c r="P49" s="58">
        <f t="shared" si="4"/>
        <v>5.866</v>
      </c>
      <c r="Q49" s="42">
        <f t="shared" si="8"/>
        <v>471.2</v>
      </c>
      <c r="R49" s="42">
        <f t="shared" si="5"/>
        <v>0</v>
      </c>
      <c r="S49" s="42">
        <f t="shared" si="7"/>
        <v>0</v>
      </c>
      <c r="T49" s="42">
        <f t="shared" si="6"/>
        <v>471.2</v>
      </c>
      <c r="U49" s="24">
        <f>T49-'[1]2020'!$AP45</f>
        <v>0</v>
      </c>
    </row>
    <row r="50" spans="1:21" s="24" customFormat="1" ht="15.75">
      <c r="A50" s="30">
        <v>43</v>
      </c>
      <c r="B50" s="22" t="s">
        <v>43</v>
      </c>
      <c r="C50" s="100">
        <v>21548</v>
      </c>
      <c r="D50" s="73"/>
      <c r="E50" s="73"/>
      <c r="F50" s="74"/>
      <c r="G50" s="38">
        <v>4725</v>
      </c>
      <c r="H50" s="58">
        <f t="shared" si="0"/>
        <v>4.56</v>
      </c>
      <c r="I50" s="29">
        <f t="shared" si="1"/>
        <v>0</v>
      </c>
      <c r="J50" s="29">
        <f t="shared" si="2"/>
        <v>0</v>
      </c>
      <c r="K50" s="29">
        <f t="shared" si="3"/>
        <v>0</v>
      </c>
      <c r="L50" s="75">
        <v>21</v>
      </c>
      <c r="M50" s="75"/>
      <c r="N50" s="75"/>
      <c r="O50" s="38">
        <v>4725</v>
      </c>
      <c r="P50" s="58">
        <f t="shared" si="4"/>
        <v>4.56</v>
      </c>
      <c r="Q50" s="42">
        <f t="shared" si="8"/>
        <v>452.5</v>
      </c>
      <c r="R50" s="42">
        <f t="shared" si="5"/>
        <v>0</v>
      </c>
      <c r="S50" s="42">
        <f t="shared" si="7"/>
        <v>0</v>
      </c>
      <c r="T50" s="42">
        <f t="shared" si="6"/>
        <v>452.5</v>
      </c>
      <c r="U50" s="24">
        <f>T50-'[1]2020'!$AP46</f>
        <v>0</v>
      </c>
    </row>
    <row r="51" spans="1:21" s="24" customFormat="1" ht="34.5" customHeight="1">
      <c r="A51" s="31">
        <v>44</v>
      </c>
      <c r="B51" s="25" t="s">
        <v>44</v>
      </c>
      <c r="C51" s="104">
        <v>30417</v>
      </c>
      <c r="D51" s="84"/>
      <c r="E51" s="73"/>
      <c r="F51" s="74"/>
      <c r="G51" s="38">
        <v>4725</v>
      </c>
      <c r="H51" s="58">
        <f t="shared" si="0"/>
        <v>6.437</v>
      </c>
      <c r="I51" s="29">
        <f t="shared" si="1"/>
        <v>0</v>
      </c>
      <c r="J51" s="29">
        <f t="shared" si="2"/>
        <v>0</v>
      </c>
      <c r="K51" s="29">
        <f t="shared" si="3"/>
        <v>0</v>
      </c>
      <c r="L51" s="89">
        <v>9</v>
      </c>
      <c r="M51" s="75"/>
      <c r="N51" s="75"/>
      <c r="O51" s="38">
        <v>4725</v>
      </c>
      <c r="P51" s="58">
        <f t="shared" si="4"/>
        <v>6.437</v>
      </c>
      <c r="Q51" s="42">
        <f>ROUND((L51)*O51/1000*P51,1)+0.1</f>
        <v>273.8</v>
      </c>
      <c r="R51" s="42">
        <f t="shared" si="5"/>
        <v>0</v>
      </c>
      <c r="S51" s="42">
        <f t="shared" si="7"/>
        <v>0</v>
      </c>
      <c r="T51" s="42">
        <f t="shared" si="6"/>
        <v>273.8</v>
      </c>
      <c r="U51" s="24">
        <f>T51-'[1]2020'!$AP47</f>
        <v>0</v>
      </c>
    </row>
    <row r="52" spans="1:21" s="26" customFormat="1" ht="31.5">
      <c r="A52" s="33">
        <v>45</v>
      </c>
      <c r="B52" s="25" t="s">
        <v>45</v>
      </c>
      <c r="C52" s="104">
        <v>22765</v>
      </c>
      <c r="D52" s="84"/>
      <c r="E52" s="84"/>
      <c r="F52" s="85"/>
      <c r="G52" s="38">
        <v>4725</v>
      </c>
      <c r="H52" s="58">
        <f t="shared" si="0"/>
        <v>4.818</v>
      </c>
      <c r="I52" s="29">
        <f t="shared" si="1"/>
        <v>0</v>
      </c>
      <c r="J52" s="29">
        <f t="shared" si="2"/>
        <v>0</v>
      </c>
      <c r="K52" s="29">
        <f t="shared" si="3"/>
        <v>0</v>
      </c>
      <c r="L52" s="89">
        <v>17</v>
      </c>
      <c r="M52" s="75"/>
      <c r="N52" s="75"/>
      <c r="O52" s="38">
        <v>4725</v>
      </c>
      <c r="P52" s="58">
        <f t="shared" si="4"/>
        <v>4.818</v>
      </c>
      <c r="Q52" s="42">
        <f t="shared" si="8"/>
        <v>387</v>
      </c>
      <c r="R52" s="42">
        <f t="shared" si="5"/>
        <v>0</v>
      </c>
      <c r="S52" s="42">
        <f t="shared" si="7"/>
        <v>0</v>
      </c>
      <c r="T52" s="42">
        <f t="shared" si="6"/>
        <v>387</v>
      </c>
      <c r="U52" s="24">
        <f>T52-'[1]2020'!$AP48</f>
        <v>0</v>
      </c>
    </row>
    <row r="53" spans="1:20" s="52" customFormat="1" ht="38.25" customHeight="1">
      <c r="A53" s="131"/>
      <c r="B53" s="132" t="s">
        <v>73</v>
      </c>
      <c r="C53" s="132"/>
      <c r="D53" s="133">
        <f>SUM(D8:D52)</f>
        <v>402</v>
      </c>
      <c r="E53" s="133">
        <f>SUM(E8:E52)</f>
        <v>3</v>
      </c>
      <c r="F53" s="133">
        <f>SUM(F8:F52)</f>
        <v>0</v>
      </c>
      <c r="G53" s="92"/>
      <c r="H53" s="136"/>
      <c r="I53" s="171"/>
      <c r="J53" s="171"/>
      <c r="K53" s="171"/>
      <c r="L53" s="133">
        <f>SUM(L8:L52)</f>
        <v>3090</v>
      </c>
      <c r="M53" s="133">
        <f>SUM(M8:M52)</f>
        <v>31</v>
      </c>
      <c r="N53" s="133">
        <f>SUM(N8:N52)</f>
        <v>22</v>
      </c>
      <c r="O53" s="92"/>
      <c r="P53" s="134"/>
      <c r="Q53" s="172">
        <f>SUM(Q8:Q52)</f>
        <v>39921.099999999984</v>
      </c>
      <c r="R53" s="172">
        <f>SUM(R8:R52)</f>
        <v>373.20000000000005</v>
      </c>
      <c r="S53" s="172">
        <f>SUM(S8:S52)</f>
        <v>294.20000000000005</v>
      </c>
      <c r="T53" s="172">
        <f>SUM(T8:T52)</f>
        <v>44617.69999999998</v>
      </c>
    </row>
    <row r="54" spans="1:20" s="150" customFormat="1" ht="15.75">
      <c r="A54" s="141"/>
      <c r="B54" s="142"/>
      <c r="C54" s="142"/>
      <c r="D54" s="173"/>
      <c r="E54" s="174"/>
      <c r="F54" s="174"/>
      <c r="G54" s="143"/>
      <c r="H54" s="162"/>
      <c r="I54" s="145"/>
      <c r="J54" s="145"/>
      <c r="K54" s="145"/>
      <c r="L54" s="173"/>
      <c r="M54" s="173"/>
      <c r="N54" s="147"/>
      <c r="O54" s="143"/>
      <c r="P54" s="165"/>
      <c r="Q54" s="175"/>
      <c r="R54" s="175"/>
      <c r="S54" s="175"/>
      <c r="T54" s="175"/>
    </row>
    <row r="55" spans="1:20" s="150" customFormat="1" ht="15.75">
      <c r="A55" s="141"/>
      <c r="B55" s="142"/>
      <c r="C55" s="142"/>
      <c r="D55" s="174"/>
      <c r="E55" s="174"/>
      <c r="F55" s="174"/>
      <c r="G55" s="143"/>
      <c r="H55" s="162"/>
      <c r="I55" s="145"/>
      <c r="J55" s="145"/>
      <c r="K55" s="145"/>
      <c r="L55" s="173"/>
      <c r="M55" s="174"/>
      <c r="N55" s="48"/>
      <c r="O55" s="143"/>
      <c r="P55" s="165"/>
      <c r="Q55" s="175"/>
      <c r="R55" s="175"/>
      <c r="S55" s="175"/>
      <c r="T55" s="175"/>
    </row>
    <row r="56" spans="1:20" s="170" customFormat="1" ht="15.75">
      <c r="A56" s="152"/>
      <c r="B56" s="153"/>
      <c r="C56" s="153"/>
      <c r="D56" s="154"/>
      <c r="E56" s="154"/>
      <c r="F56" s="154"/>
      <c r="G56" s="156"/>
      <c r="H56" s="156"/>
      <c r="I56" s="176"/>
      <c r="J56" s="176"/>
      <c r="K56" s="176"/>
      <c r="L56" s="154"/>
      <c r="M56" s="154"/>
      <c r="N56" s="154"/>
      <c r="O56" s="156"/>
      <c r="P56" s="156"/>
      <c r="Q56" s="169"/>
      <c r="R56" s="169"/>
      <c r="S56" s="169"/>
      <c r="T56" s="169"/>
    </row>
    <row r="57" spans="1:16" ht="18" customHeight="1">
      <c r="A57" s="18"/>
      <c r="B57" s="19"/>
      <c r="C57" s="19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5.75">
      <c r="A58" s="3"/>
      <c r="B58" s="4"/>
      <c r="C58" s="4"/>
      <c r="D58" s="4"/>
      <c r="E58" s="4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.75">
      <c r="A59" s="3"/>
      <c r="B59" s="4"/>
      <c r="C59" s="4"/>
      <c r="D59" s="4"/>
      <c r="E59" s="4"/>
      <c r="F59" s="17"/>
      <c r="G59" s="17"/>
      <c r="H59" s="17"/>
      <c r="I59" s="17"/>
      <c r="J59" s="17"/>
      <c r="K59" s="17"/>
      <c r="L59" s="5"/>
      <c r="M59" s="5"/>
      <c r="N59" s="5"/>
      <c r="O59" s="5"/>
      <c r="P59" s="5"/>
    </row>
    <row r="60" spans="1:16" ht="15.75">
      <c r="A60" s="3"/>
      <c r="B60" s="4"/>
      <c r="C60" s="4"/>
      <c r="D60" s="4"/>
      <c r="E60" s="4"/>
      <c r="F60" s="17"/>
      <c r="G60" s="17"/>
      <c r="H60" s="17"/>
      <c r="I60" s="17"/>
      <c r="J60" s="17"/>
      <c r="K60" s="17"/>
      <c r="L60" s="5"/>
      <c r="M60" s="5"/>
      <c r="N60" s="5"/>
      <c r="O60" s="5"/>
      <c r="P60" s="5"/>
    </row>
    <row r="61" spans="1:16" ht="15.75">
      <c r="A61" s="3"/>
      <c r="B61" s="4"/>
      <c r="C61" s="4"/>
      <c r="D61" s="4"/>
      <c r="E61" s="4"/>
      <c r="F61" s="17"/>
      <c r="G61" s="17"/>
      <c r="H61" s="17"/>
      <c r="I61" s="17"/>
      <c r="J61" s="17"/>
      <c r="K61" s="17"/>
      <c r="L61" s="5"/>
      <c r="M61" s="5"/>
      <c r="N61" s="5"/>
      <c r="O61" s="5"/>
      <c r="P61" s="5"/>
    </row>
    <row r="62" spans="1:16" ht="15.7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</row>
    <row r="63" spans="1:16" ht="15.7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5"/>
      <c r="M63" s="5"/>
      <c r="N63" s="5"/>
      <c r="O63" s="5"/>
      <c r="P63" s="5"/>
    </row>
    <row r="64" spans="1:16" ht="16.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</row>
    <row r="65" spans="1:16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</row>
    <row r="66" spans="1:16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5"/>
    </row>
    <row r="67" spans="1:16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</row>
    <row r="68" spans="1:16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</row>
    <row r="69" spans="1:16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</row>
    <row r="70" spans="1:16" ht="15.75">
      <c r="A70" s="3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  <c r="P70" s="8"/>
    </row>
    <row r="71" spans="1:16" s="9" customFormat="1" ht="16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ht="15.75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5"/>
      <c r="M72" s="5"/>
      <c r="N72" s="5"/>
      <c r="O72" s="5"/>
      <c r="P72" s="5"/>
    </row>
    <row r="73" spans="1:16" ht="15.75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5"/>
    </row>
    <row r="74" spans="1:16" ht="15.75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5"/>
      <c r="M74" s="5"/>
      <c r="N74" s="5"/>
      <c r="O74" s="5"/>
      <c r="P74" s="5"/>
    </row>
    <row r="75" spans="1:16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5"/>
      <c r="M75" s="5"/>
      <c r="N75" s="5"/>
      <c r="O75" s="5"/>
      <c r="P75" s="5"/>
    </row>
    <row r="76" spans="1:16" ht="18" customHeight="1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  <c r="M76" s="5"/>
      <c r="N76" s="5"/>
      <c r="O76" s="5"/>
      <c r="P76" s="5"/>
    </row>
    <row r="77" spans="1:16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5"/>
      <c r="M77" s="5"/>
      <c r="N77" s="5"/>
      <c r="O77" s="5"/>
      <c r="P77" s="5"/>
    </row>
    <row r="78" spans="1:16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5"/>
      <c r="M78" s="5"/>
      <c r="N78" s="5"/>
      <c r="O78" s="5"/>
      <c r="P78" s="5"/>
    </row>
    <row r="79" spans="1:16" ht="15.75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5"/>
      <c r="M79" s="5"/>
      <c r="N79" s="5"/>
      <c r="O79" s="5"/>
      <c r="P79" s="5"/>
    </row>
    <row r="80" spans="1:16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5"/>
      <c r="M80" s="5"/>
      <c r="N80" s="5"/>
      <c r="O80" s="5"/>
      <c r="P80" s="5"/>
    </row>
    <row r="81" spans="1:16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5"/>
      <c r="M81" s="5"/>
      <c r="N81" s="5"/>
      <c r="O81" s="5"/>
      <c r="P81" s="5"/>
    </row>
    <row r="82" spans="1:16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</row>
    <row r="83" spans="1:16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</row>
    <row r="84" spans="1:16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</row>
    <row r="85" spans="1:16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</row>
    <row r="86" spans="1:16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</row>
    <row r="87" spans="1:16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</row>
    <row r="88" spans="1:16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</row>
    <row r="89" spans="1:16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</row>
    <row r="90" spans="1:16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</row>
    <row r="91" spans="1:16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</row>
    <row r="92" spans="1:16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</row>
    <row r="93" spans="1:16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</row>
    <row r="94" spans="1:16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</row>
    <row r="95" spans="1:16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</row>
    <row r="96" spans="1:16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</row>
    <row r="97" spans="1:16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</row>
    <row r="98" spans="1:16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</row>
    <row r="99" spans="1:16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</row>
    <row r="100" spans="1:16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</row>
    <row r="101" spans="1:16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</row>
    <row r="102" spans="1:16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</row>
    <row r="103" spans="1:16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</row>
    <row r="104" spans="1:16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</row>
    <row r="105" spans="1:16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</row>
    <row r="106" spans="1:16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</row>
    <row r="107" spans="1:16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</row>
    <row r="108" spans="1:16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</row>
    <row r="109" spans="1:16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5"/>
      <c r="P109" s="5"/>
    </row>
    <row r="110" spans="1:16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5"/>
      <c r="P110" s="5"/>
    </row>
    <row r="111" spans="1:16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</row>
    <row r="112" spans="1:16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</row>
    <row r="113" spans="1:16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</row>
    <row r="114" spans="1:16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5"/>
      <c r="P114" s="5"/>
    </row>
    <row r="115" spans="1:16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5"/>
      <c r="P115" s="5"/>
    </row>
    <row r="116" spans="1:16" ht="15.7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8"/>
      <c r="M116" s="8"/>
      <c r="N116" s="8"/>
      <c r="O116" s="8"/>
      <c r="P116" s="8"/>
    </row>
    <row r="117" spans="1:16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2"/>
      <c r="M117" s="12"/>
      <c r="N117" s="12"/>
      <c r="O117" s="12"/>
      <c r="P117" s="12"/>
    </row>
    <row r="118" spans="1:1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5"/>
      <c r="M118" s="5"/>
      <c r="N118" s="5"/>
      <c r="O118" s="5"/>
      <c r="P118" s="5"/>
    </row>
  </sheetData>
  <sheetProtection/>
  <mergeCells count="25">
    <mergeCell ref="G1:H1"/>
    <mergeCell ref="E2:H2"/>
    <mergeCell ref="I3:O3"/>
    <mergeCell ref="I4:O4"/>
    <mergeCell ref="I5:I6"/>
    <mergeCell ref="C4:H4"/>
    <mergeCell ref="C5:C6"/>
    <mergeCell ref="C3:H3"/>
    <mergeCell ref="Q5:Q6"/>
    <mergeCell ref="A3:A6"/>
    <mergeCell ref="B3:B6"/>
    <mergeCell ref="O5:O6"/>
    <mergeCell ref="P3:T3"/>
    <mergeCell ref="P4:T4"/>
    <mergeCell ref="R5:R6"/>
    <mergeCell ref="S5:S6"/>
    <mergeCell ref="T5:T6"/>
    <mergeCell ref="A71:P71"/>
    <mergeCell ref="D5:F5"/>
    <mergeCell ref="L5:N5"/>
    <mergeCell ref="G5:G6"/>
    <mergeCell ref="H5:H6"/>
    <mergeCell ref="J5:J6"/>
    <mergeCell ref="K5:K6"/>
    <mergeCell ref="P5:P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4" r:id="rId1"/>
  <rowBreaks count="1" manualBreakCount="1">
    <brk id="56" max="255" man="1"/>
  </rowBreaks>
  <colBreaks count="1" manualBreakCount="1">
    <brk id="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81" zoomScaleNormal="71" zoomScaleSheetLayoutView="81" zoomScalePageLayoutView="0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9" sqref="J49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42.421875" style="13" customWidth="1"/>
    <col min="4" max="4" width="0.42578125" style="1" customWidth="1"/>
    <col min="5" max="16384" width="9.140625" style="1" customWidth="1"/>
  </cols>
  <sheetData>
    <row r="1" spans="1:4" ht="15.75">
      <c r="A1" s="44"/>
      <c r="B1" s="117" t="s">
        <v>94</v>
      </c>
      <c r="C1" s="117"/>
      <c r="D1" s="53"/>
    </row>
    <row r="2" spans="1:4" ht="18.75">
      <c r="A2" s="118" t="s">
        <v>86</v>
      </c>
      <c r="B2" s="118"/>
      <c r="C2" s="118"/>
      <c r="D2" s="54"/>
    </row>
    <row r="3" spans="1:7" ht="40.5" customHeight="1">
      <c r="A3" s="110" t="s">
        <v>0</v>
      </c>
      <c r="B3" s="107" t="s">
        <v>63</v>
      </c>
      <c r="C3" s="46" t="s">
        <v>89</v>
      </c>
      <c r="D3" s="49"/>
      <c r="E3" s="49"/>
      <c r="F3" s="49"/>
      <c r="G3" s="49"/>
    </row>
    <row r="4" spans="1:7" ht="27.75" customHeight="1">
      <c r="A4" s="111"/>
      <c r="B4" s="108"/>
      <c r="C4" s="46" t="s">
        <v>46</v>
      </c>
      <c r="D4" s="49" t="s">
        <v>95</v>
      </c>
      <c r="E4" s="49"/>
      <c r="F4" s="49"/>
      <c r="G4" s="49"/>
    </row>
    <row r="5" spans="1:3" ht="93.75" customHeight="1">
      <c r="A5" s="111"/>
      <c r="B5" s="108"/>
      <c r="C5" s="47" t="s">
        <v>84</v>
      </c>
    </row>
    <row r="6" spans="1:3" s="15" customFormat="1" ht="17.25" customHeight="1">
      <c r="A6" s="34">
        <v>1</v>
      </c>
      <c r="B6" s="34">
        <v>2</v>
      </c>
      <c r="C6" s="34">
        <v>3</v>
      </c>
    </row>
    <row r="7" spans="1:4" s="24" customFormat="1" ht="15.75">
      <c r="A7" s="30">
        <v>1</v>
      </c>
      <c r="B7" s="22" t="s">
        <v>1</v>
      </c>
      <c r="C7" s="43">
        <f>'ФО общехоз.затрат'!T8+'ФО непосредств.затрат'!Y8+D7</f>
        <v>1516.1</v>
      </c>
      <c r="D7" s="56">
        <v>36</v>
      </c>
    </row>
    <row r="8" spans="1:4" s="24" customFormat="1" ht="15.75">
      <c r="A8" s="31">
        <v>2</v>
      </c>
      <c r="B8" s="22" t="s">
        <v>2</v>
      </c>
      <c r="C8" s="43">
        <f>'ФО общехоз.затрат'!T9+'ФО непосредств.затрат'!Y9+D8</f>
        <v>1950.5</v>
      </c>
      <c r="D8" s="56">
        <v>43.8</v>
      </c>
    </row>
    <row r="9" spans="1:4" s="24" customFormat="1" ht="15.75">
      <c r="A9" s="30">
        <v>3</v>
      </c>
      <c r="B9" s="22" t="s">
        <v>3</v>
      </c>
      <c r="C9" s="43">
        <f>'ФО общехоз.затрат'!T10+'ФО непосредств.затрат'!Y10+D9</f>
        <v>2432.9</v>
      </c>
      <c r="D9" s="56">
        <v>60.8</v>
      </c>
    </row>
    <row r="10" spans="1:4" s="24" customFormat="1" ht="15.75">
      <c r="A10" s="31">
        <v>4</v>
      </c>
      <c r="B10" s="22" t="s">
        <v>4</v>
      </c>
      <c r="C10" s="43">
        <f>'ФО общехоз.затрат'!T11+'ФО непосредств.затрат'!Y11+D10</f>
        <v>3959.3</v>
      </c>
      <c r="D10" s="56">
        <v>122</v>
      </c>
    </row>
    <row r="11" spans="1:4" s="24" customFormat="1" ht="15.75">
      <c r="A11" s="30">
        <v>5</v>
      </c>
      <c r="B11" s="22" t="s">
        <v>5</v>
      </c>
      <c r="C11" s="43">
        <f>'ФО общехоз.затрат'!T12+'ФО непосредств.затрат'!Y12+D11</f>
        <v>4035.2000000000003</v>
      </c>
      <c r="D11" s="56">
        <v>130.9</v>
      </c>
    </row>
    <row r="12" spans="1:4" s="24" customFormat="1" ht="15.75">
      <c r="A12" s="31">
        <v>6</v>
      </c>
      <c r="B12" s="22" t="s">
        <v>6</v>
      </c>
      <c r="C12" s="43">
        <f>'ФО общехоз.затрат'!T13+'ФО непосредств.затрат'!Y13+D12</f>
        <v>2224.1</v>
      </c>
      <c r="D12" s="56">
        <v>40.8</v>
      </c>
    </row>
    <row r="13" spans="1:4" s="24" customFormat="1" ht="15.75">
      <c r="A13" s="30">
        <v>7</v>
      </c>
      <c r="B13" s="22" t="s">
        <v>7</v>
      </c>
      <c r="C13" s="43">
        <f>'ФО общехоз.затрат'!T14+'ФО непосредств.затрат'!Y14+D13</f>
        <v>3944.8999999999996</v>
      </c>
      <c r="D13" s="56">
        <v>199.2</v>
      </c>
    </row>
    <row r="14" spans="1:4" s="24" customFormat="1" ht="15.75">
      <c r="A14" s="31">
        <v>8</v>
      </c>
      <c r="B14" s="22" t="s">
        <v>8</v>
      </c>
      <c r="C14" s="43">
        <f>'ФО общехоз.затрат'!T15+'ФО непосредств.затрат'!Y15+D14</f>
        <v>3740.5000000000005</v>
      </c>
      <c r="D14" s="56">
        <v>107.9</v>
      </c>
    </row>
    <row r="15" spans="1:4" s="24" customFormat="1" ht="15.75">
      <c r="A15" s="30">
        <v>9</v>
      </c>
      <c r="B15" s="22" t="s">
        <v>9</v>
      </c>
      <c r="C15" s="43">
        <f>'ФО общехоз.затрат'!T16+'ФО непосредств.затрат'!Y16+D15</f>
        <v>4501.099999999999</v>
      </c>
      <c r="D15" s="56">
        <v>184.2</v>
      </c>
    </row>
    <row r="16" spans="1:4" s="24" customFormat="1" ht="15.75">
      <c r="A16" s="31">
        <v>10</v>
      </c>
      <c r="B16" s="22" t="s">
        <v>10</v>
      </c>
      <c r="C16" s="43">
        <f>'ФО общехоз.затрат'!T17+'ФО непосредств.затрат'!Y17+D16</f>
        <v>4231</v>
      </c>
      <c r="D16" s="56">
        <v>282.6</v>
      </c>
    </row>
    <row r="17" spans="1:4" s="24" customFormat="1" ht="15.75">
      <c r="A17" s="30">
        <v>11</v>
      </c>
      <c r="B17" s="25" t="s">
        <v>11</v>
      </c>
      <c r="C17" s="43">
        <f>'ФО общехоз.затрат'!T18+'ФО непосредств.затрат'!Y18+D17</f>
        <v>2733.9</v>
      </c>
      <c r="D17" s="56">
        <v>563.4</v>
      </c>
    </row>
    <row r="18" spans="1:4" s="24" customFormat="1" ht="15.75">
      <c r="A18" s="31">
        <v>12</v>
      </c>
      <c r="B18" s="22" t="s">
        <v>25</v>
      </c>
      <c r="C18" s="43">
        <f>'ФО общехоз.затрат'!T19+'ФО непосредств.затрат'!Y19+D18</f>
        <v>815.1</v>
      </c>
      <c r="D18" s="56">
        <v>3.1</v>
      </c>
    </row>
    <row r="19" spans="1:4" s="24" customFormat="1" ht="15.75">
      <c r="A19" s="30">
        <v>13</v>
      </c>
      <c r="B19" s="22" t="s">
        <v>24</v>
      </c>
      <c r="C19" s="43">
        <f>'ФО общехоз.затрат'!T20+'ФО непосредств.затрат'!Y20+D19</f>
        <v>572.3</v>
      </c>
      <c r="D19" s="56">
        <v>4.9</v>
      </c>
    </row>
    <row r="20" spans="1:4" s="24" customFormat="1" ht="15.75">
      <c r="A20" s="31">
        <v>14</v>
      </c>
      <c r="B20" s="22" t="s">
        <v>12</v>
      </c>
      <c r="C20" s="43">
        <f>'ФО общехоз.затрат'!T21+'ФО непосредств.затрат'!Y21+D20</f>
        <v>1237.8999999999999</v>
      </c>
      <c r="D20" s="56">
        <v>2.1</v>
      </c>
    </row>
    <row r="21" spans="1:4" s="24" customFormat="1" ht="15.75">
      <c r="A21" s="30">
        <v>15</v>
      </c>
      <c r="B21" s="22" t="s">
        <v>13</v>
      </c>
      <c r="C21" s="43">
        <f>'ФО общехоз.затрат'!T22+'ФО непосредств.затрат'!Y22+D21</f>
        <v>962.4000000000001</v>
      </c>
      <c r="D21" s="56">
        <v>2.2</v>
      </c>
    </row>
    <row r="22" spans="1:4" s="24" customFormat="1" ht="15.75">
      <c r="A22" s="31">
        <v>16</v>
      </c>
      <c r="B22" s="22" t="s">
        <v>14</v>
      </c>
      <c r="C22" s="43">
        <f>'ФО общехоз.затрат'!T23+'ФО непосредств.затрат'!Y23+D22</f>
        <v>938.5</v>
      </c>
      <c r="D22" s="56">
        <v>1.5</v>
      </c>
    </row>
    <row r="23" spans="1:4" s="26" customFormat="1" ht="16.5" customHeight="1">
      <c r="A23" s="32">
        <v>17</v>
      </c>
      <c r="B23" s="25" t="s">
        <v>15</v>
      </c>
      <c r="C23" s="43">
        <f>'ФО общехоз.затрат'!T24+'ФО непосредств.затрат'!Y24+D23</f>
        <v>1067</v>
      </c>
      <c r="D23" s="55">
        <v>1</v>
      </c>
    </row>
    <row r="24" spans="1:4" s="24" customFormat="1" ht="19.5" customHeight="1">
      <c r="A24" s="31">
        <v>18</v>
      </c>
      <c r="B24" s="22" t="s">
        <v>26</v>
      </c>
      <c r="C24" s="43">
        <f>'ФО общехоз.затрат'!T25+'ФО непосредств.затрат'!Y25+D24</f>
        <v>664.8000000000001</v>
      </c>
      <c r="D24" s="56">
        <v>2</v>
      </c>
    </row>
    <row r="25" spans="1:4" s="24" customFormat="1" ht="19.5" customHeight="1">
      <c r="A25" s="30">
        <v>19</v>
      </c>
      <c r="B25" s="22" t="s">
        <v>27</v>
      </c>
      <c r="C25" s="43">
        <f>'ФО общехоз.затрат'!T26+'ФО непосредств.затрат'!Y26+D25</f>
        <v>676.8000000000001</v>
      </c>
      <c r="D25" s="56">
        <v>1.2</v>
      </c>
    </row>
    <row r="26" spans="1:4" s="24" customFormat="1" ht="18" customHeight="1">
      <c r="A26" s="31">
        <v>20</v>
      </c>
      <c r="B26" s="22" t="s">
        <v>28</v>
      </c>
      <c r="C26" s="43">
        <f>'ФО общехоз.затрат'!T27+'ФО непосредств.затрат'!Y27+D26</f>
        <v>683.2</v>
      </c>
      <c r="D26" s="56">
        <v>0.4</v>
      </c>
    </row>
    <row r="27" spans="1:4" s="24" customFormat="1" ht="18.75" customHeight="1">
      <c r="A27" s="30">
        <v>21</v>
      </c>
      <c r="B27" s="22" t="s">
        <v>29</v>
      </c>
      <c r="C27" s="43">
        <f>'ФО общехоз.затрат'!T28+'ФО непосредств.затрат'!Y28+D27</f>
        <v>749.5999999999999</v>
      </c>
      <c r="D27" s="56">
        <v>0.7</v>
      </c>
    </row>
    <row r="28" spans="1:4" s="24" customFormat="1" ht="15.75">
      <c r="A28" s="31">
        <v>22</v>
      </c>
      <c r="B28" s="22" t="s">
        <v>16</v>
      </c>
      <c r="C28" s="43">
        <f>'ФО общехоз.затрат'!T29+'ФО непосредств.затрат'!Y29+D28</f>
        <v>1457.2</v>
      </c>
      <c r="D28" s="56">
        <v>37.4</v>
      </c>
    </row>
    <row r="29" spans="1:4" s="24" customFormat="1" ht="15.75">
      <c r="A29" s="30">
        <v>23</v>
      </c>
      <c r="B29" s="22" t="s">
        <v>17</v>
      </c>
      <c r="C29" s="43">
        <f>'ФО общехоз.затрат'!T30+'ФО непосредств.затрат'!Y30+D29</f>
        <v>1365.3000000000002</v>
      </c>
      <c r="D29" s="56">
        <v>32.5</v>
      </c>
    </row>
    <row r="30" spans="1:4" s="26" customFormat="1" ht="18" customHeight="1">
      <c r="A30" s="31">
        <v>24</v>
      </c>
      <c r="B30" s="25" t="s">
        <v>18</v>
      </c>
      <c r="C30" s="43">
        <f>'ФО общехоз.затрат'!T31+'ФО непосредств.затрат'!Y31+D30</f>
        <v>1715.8999999999999</v>
      </c>
      <c r="D30" s="55">
        <v>58.6</v>
      </c>
    </row>
    <row r="31" spans="1:4" s="24" customFormat="1" ht="15.75">
      <c r="A31" s="30">
        <v>25</v>
      </c>
      <c r="B31" s="22" t="s">
        <v>19</v>
      </c>
      <c r="C31" s="43">
        <f>'ФО общехоз.затрат'!T32+'ФО непосредств.затрат'!Y32+D31</f>
        <v>1613.1999999999998</v>
      </c>
      <c r="D31" s="56">
        <v>47.3</v>
      </c>
    </row>
    <row r="32" spans="1:4" s="24" customFormat="1" ht="15.75">
      <c r="A32" s="31">
        <v>26</v>
      </c>
      <c r="B32" s="22" t="s">
        <v>20</v>
      </c>
      <c r="C32" s="43">
        <f>'ФО общехоз.затрат'!T33+'ФО непосредств.затрат'!Y33+D32</f>
        <v>1951.6</v>
      </c>
      <c r="D32" s="56">
        <v>6</v>
      </c>
    </row>
    <row r="33" spans="1:4" s="24" customFormat="1" ht="15.75">
      <c r="A33" s="30">
        <v>27</v>
      </c>
      <c r="B33" s="22" t="s">
        <v>30</v>
      </c>
      <c r="C33" s="43">
        <f>'ФО общехоз.затрат'!T34+'ФО непосредств.затрат'!Y34+D33</f>
        <v>673.9</v>
      </c>
      <c r="D33" s="56">
        <v>0.5</v>
      </c>
    </row>
    <row r="34" spans="1:4" s="24" customFormat="1" ht="15.75">
      <c r="A34" s="31">
        <v>28</v>
      </c>
      <c r="B34" s="22" t="s">
        <v>31</v>
      </c>
      <c r="C34" s="43">
        <f>'ФО общехоз.затрат'!T35+'ФО непосредств.затрат'!Y35+D34</f>
        <v>555.2</v>
      </c>
      <c r="D34" s="56">
        <v>1.1</v>
      </c>
    </row>
    <row r="35" spans="1:4" s="24" customFormat="1" ht="15.75">
      <c r="A35" s="30">
        <v>29</v>
      </c>
      <c r="B35" s="22" t="s">
        <v>21</v>
      </c>
      <c r="C35" s="43">
        <f>'ФО общехоз.затрат'!T36+'ФО непосредств.затрат'!Y36+D35</f>
        <v>771.7</v>
      </c>
      <c r="D35" s="56">
        <v>3</v>
      </c>
    </row>
    <row r="36" spans="1:4" s="24" customFormat="1" ht="15.75">
      <c r="A36" s="31">
        <v>30</v>
      </c>
      <c r="B36" s="22" t="s">
        <v>32</v>
      </c>
      <c r="C36" s="43">
        <f>'ФО общехоз.затрат'!T37+'ФО непосредств.затрат'!Y37+D36</f>
        <v>747.3000000000001</v>
      </c>
      <c r="D36" s="56">
        <v>3.6</v>
      </c>
    </row>
    <row r="37" spans="1:4" s="24" customFormat="1" ht="17.25" customHeight="1">
      <c r="A37" s="30">
        <v>31</v>
      </c>
      <c r="B37" s="22" t="s">
        <v>33</v>
      </c>
      <c r="C37" s="43">
        <f>'ФО общехоз.затрат'!T38+'ФО непосредств.затрат'!Y38+D37</f>
        <v>860.5</v>
      </c>
      <c r="D37" s="56">
        <v>0.6</v>
      </c>
    </row>
    <row r="38" spans="1:4" s="24" customFormat="1" ht="15.75">
      <c r="A38" s="31">
        <v>32</v>
      </c>
      <c r="B38" s="22" t="s">
        <v>34</v>
      </c>
      <c r="C38" s="43">
        <f>'ФО общехоз.затрат'!T39+'ФО непосредств.затрат'!Y39+D38</f>
        <v>285.69999999999993</v>
      </c>
      <c r="D38" s="56">
        <v>16.4</v>
      </c>
    </row>
    <row r="39" spans="1:4" s="24" customFormat="1" ht="15.75">
      <c r="A39" s="30">
        <v>33</v>
      </c>
      <c r="B39" s="22" t="s">
        <v>35</v>
      </c>
      <c r="C39" s="43">
        <f>'ФО общехоз.затрат'!T40+'ФО непосредств.затрат'!Y40+D39</f>
        <v>1195.8999999999999</v>
      </c>
      <c r="D39" s="56">
        <v>2.6</v>
      </c>
    </row>
    <row r="40" spans="1:4" s="26" customFormat="1" ht="16.5" customHeight="1">
      <c r="A40" s="33">
        <v>34</v>
      </c>
      <c r="B40" s="25" t="s">
        <v>36</v>
      </c>
      <c r="C40" s="43">
        <f>'ФО общехоз.затрат'!T41+'ФО непосредств.затрат'!Y41+D40</f>
        <v>434.8</v>
      </c>
      <c r="D40" s="55">
        <v>4.8</v>
      </c>
    </row>
    <row r="41" spans="1:4" s="26" customFormat="1" ht="15" customHeight="1">
      <c r="A41" s="32">
        <v>35</v>
      </c>
      <c r="B41" s="25" t="s">
        <v>37</v>
      </c>
      <c r="C41" s="43">
        <f>'ФО общехоз.затрат'!T42+'ФО непосредств.затрат'!Y42+D41</f>
        <v>801.3000000000001</v>
      </c>
      <c r="D41" s="55">
        <v>0.9</v>
      </c>
    </row>
    <row r="42" spans="1:4" s="24" customFormat="1" ht="15.75" customHeight="1">
      <c r="A42" s="31">
        <v>36</v>
      </c>
      <c r="B42" s="22" t="s">
        <v>38</v>
      </c>
      <c r="C42" s="43">
        <f>'ФО общехоз.затрат'!T43+'ФО непосредств.затрат'!Y43+D42</f>
        <v>1343.1</v>
      </c>
      <c r="D42" s="56">
        <v>25.7</v>
      </c>
    </row>
    <row r="43" spans="1:4" s="24" customFormat="1" ht="15.75">
      <c r="A43" s="30">
        <v>37</v>
      </c>
      <c r="B43" s="22" t="s">
        <v>39</v>
      </c>
      <c r="C43" s="43">
        <f>'ФО общехоз.затрат'!T44+'ФО непосредств.затрат'!Y44+D43</f>
        <v>736.9</v>
      </c>
      <c r="D43" s="56">
        <v>1.4</v>
      </c>
    </row>
    <row r="44" spans="1:4" s="24" customFormat="1" ht="15.75">
      <c r="A44" s="31">
        <v>38</v>
      </c>
      <c r="B44" s="22" t="s">
        <v>22</v>
      </c>
      <c r="C44" s="43">
        <f>'ФО общехоз.затрат'!T45+'ФО непосредств.затрат'!Y45+D44</f>
        <v>860.2</v>
      </c>
      <c r="D44" s="56">
        <v>3</v>
      </c>
    </row>
    <row r="45" spans="1:4" s="24" customFormat="1" ht="15.75">
      <c r="A45" s="30">
        <v>39</v>
      </c>
      <c r="B45" s="22" t="s">
        <v>40</v>
      </c>
      <c r="C45" s="43">
        <f>'ФО общехоз.затрат'!T46+'ФО непосредств.затрат'!Y46+D45</f>
        <v>784.1000000000001</v>
      </c>
      <c r="D45" s="56">
        <v>0.7</v>
      </c>
    </row>
    <row r="46" spans="1:4" s="24" customFormat="1" ht="15.75">
      <c r="A46" s="31">
        <v>40</v>
      </c>
      <c r="B46" s="22" t="s">
        <v>41</v>
      </c>
      <c r="C46" s="43">
        <f>'ФО общехоз.затрат'!T47+'ФО непосредств.затрат'!Y47+D46</f>
        <v>568.7</v>
      </c>
      <c r="D46" s="56">
        <v>0.2</v>
      </c>
    </row>
    <row r="47" spans="1:4" s="24" customFormat="1" ht="15.75">
      <c r="A47" s="30">
        <v>41</v>
      </c>
      <c r="B47" s="22" t="s">
        <v>42</v>
      </c>
      <c r="C47" s="43">
        <f>'ФО общехоз.затрат'!T48+'ФО непосредств.затрат'!Y48+D47</f>
        <v>608.6</v>
      </c>
      <c r="D47" s="56">
        <v>8.5</v>
      </c>
    </row>
    <row r="48" spans="1:4" s="24" customFormat="1" ht="15.75">
      <c r="A48" s="31">
        <v>42</v>
      </c>
      <c r="B48" s="22" t="s">
        <v>23</v>
      </c>
      <c r="C48" s="43">
        <f>'ФО общехоз.затрат'!T49+'ФО непосредств.затрат'!Y49+D48</f>
        <v>642.5</v>
      </c>
      <c r="D48" s="56">
        <v>95.6</v>
      </c>
    </row>
    <row r="49" spans="1:4" s="24" customFormat="1" ht="15.75">
      <c r="A49" s="30">
        <v>43</v>
      </c>
      <c r="B49" s="22" t="s">
        <v>43</v>
      </c>
      <c r="C49" s="43">
        <f>'ФО общехоз.затрат'!T50+'ФО непосредств.затрат'!Y50+D49</f>
        <v>531.3000000000001</v>
      </c>
      <c r="D49" s="56">
        <v>0.7</v>
      </c>
    </row>
    <row r="50" spans="1:4" s="24" customFormat="1" ht="34.5" customHeight="1">
      <c r="A50" s="31">
        <v>44</v>
      </c>
      <c r="B50" s="25" t="s">
        <v>44</v>
      </c>
      <c r="C50" s="43">
        <f>'ФО общехоз.затрат'!T51+'ФО непосредств.затрат'!Y51+D50</f>
        <v>327.2</v>
      </c>
      <c r="D50" s="56">
        <v>0</v>
      </c>
    </row>
    <row r="51" spans="1:4" s="26" customFormat="1" ht="31.5">
      <c r="A51" s="33">
        <v>45</v>
      </c>
      <c r="B51" s="25" t="s">
        <v>45</v>
      </c>
      <c r="C51" s="43">
        <f>'ФО общехоз.затрат'!T52+'ФО непосредств.затрат'!Y52+D51</f>
        <v>452.8</v>
      </c>
      <c r="D51" s="55">
        <v>4.8</v>
      </c>
    </row>
    <row r="52" spans="1:4" s="41" customFormat="1" ht="54.75" customHeight="1">
      <c r="A52" s="131"/>
      <c r="B52" s="132" t="s">
        <v>73</v>
      </c>
      <c r="C52" s="177">
        <f>'ФО общехоз.затрат'!T53+'ФО непосредств.затрат'!Y53+D52</f>
        <v>64921.999999999985</v>
      </c>
      <c r="D52" s="41">
        <f>SUM(D7:D51)</f>
        <v>2146.6</v>
      </c>
    </row>
    <row r="53" spans="1:3" s="150" customFormat="1" ht="15.75">
      <c r="A53" s="141"/>
      <c r="B53" s="142"/>
      <c r="C53" s="178"/>
    </row>
    <row r="54" spans="1:3" s="150" customFormat="1" ht="15.75">
      <c r="A54" s="141"/>
      <c r="B54" s="142"/>
      <c r="C54" s="178"/>
    </row>
    <row r="55" spans="1:3" s="158" customFormat="1" ht="15.75">
      <c r="A55" s="152"/>
      <c r="B55" s="153"/>
      <c r="C55" s="155"/>
    </row>
    <row r="56" spans="1:3" ht="18" customHeight="1">
      <c r="A56" s="18"/>
      <c r="B56" s="19"/>
      <c r="C56" s="20"/>
    </row>
    <row r="57" spans="1:3" ht="15.75">
      <c r="A57" s="3"/>
      <c r="B57" s="4"/>
      <c r="C57" s="16"/>
    </row>
    <row r="58" spans="1:3" ht="15.75">
      <c r="A58" s="3"/>
      <c r="B58" s="4"/>
      <c r="C58" s="17"/>
    </row>
    <row r="59" spans="1:3" ht="15.75">
      <c r="A59" s="3"/>
      <c r="B59" s="4"/>
      <c r="C59" s="17"/>
    </row>
    <row r="60" spans="1:3" ht="15.75">
      <c r="A60" s="3"/>
      <c r="B60" s="4"/>
      <c r="C60" s="17"/>
    </row>
    <row r="61" spans="1:3" ht="15.75">
      <c r="A61" s="3"/>
      <c r="B61" s="6"/>
      <c r="C61" s="6"/>
    </row>
    <row r="62" spans="1:3" ht="15.75">
      <c r="A62" s="3"/>
      <c r="B62" s="6"/>
      <c r="C62" s="6"/>
    </row>
    <row r="63" spans="1:3" ht="16.5" customHeight="1">
      <c r="A63" s="3"/>
      <c r="B63" s="4"/>
      <c r="C63" s="4"/>
    </row>
    <row r="64" spans="1:3" ht="15.75">
      <c r="A64" s="3"/>
      <c r="B64" s="4"/>
      <c r="C64" s="4"/>
    </row>
    <row r="65" spans="1:3" ht="15.75">
      <c r="A65" s="3"/>
      <c r="B65" s="4"/>
      <c r="C65" s="4"/>
    </row>
    <row r="66" spans="1:3" ht="15.75">
      <c r="A66" s="3"/>
      <c r="B66" s="4"/>
      <c r="C66" s="4"/>
    </row>
    <row r="67" spans="1:3" ht="15.75">
      <c r="A67" s="3"/>
      <c r="B67" s="4"/>
      <c r="C67" s="4"/>
    </row>
    <row r="68" spans="1:3" ht="15.75">
      <c r="A68" s="3"/>
      <c r="B68" s="4"/>
      <c r="C68" s="4"/>
    </row>
    <row r="69" spans="1:3" ht="15.75">
      <c r="A69" s="3"/>
      <c r="B69" s="7"/>
      <c r="C69" s="7"/>
    </row>
    <row r="70" spans="1:3" s="9" customFormat="1" ht="16.5" customHeight="1">
      <c r="A70" s="106"/>
      <c r="B70" s="106"/>
      <c r="C70" s="106"/>
    </row>
    <row r="71" spans="1:3" ht="15.75">
      <c r="A71" s="3"/>
      <c r="B71" s="6"/>
      <c r="C71" s="6"/>
    </row>
    <row r="72" spans="1:3" ht="15.75">
      <c r="A72" s="3"/>
      <c r="B72" s="6"/>
      <c r="C72" s="6"/>
    </row>
    <row r="73" spans="1:3" ht="15.75">
      <c r="A73" s="3"/>
      <c r="B73" s="6"/>
      <c r="C73" s="6"/>
    </row>
    <row r="74" spans="1:3" ht="15.75">
      <c r="A74" s="3"/>
      <c r="B74" s="6"/>
      <c r="C74" s="6"/>
    </row>
    <row r="75" spans="1:3" ht="18" customHeight="1">
      <c r="A75" s="3"/>
      <c r="B75" s="6"/>
      <c r="C75" s="6"/>
    </row>
    <row r="76" spans="1:3" ht="15.75">
      <c r="A76" s="3"/>
      <c r="B76" s="6"/>
      <c r="C76" s="6"/>
    </row>
    <row r="77" spans="1:3" ht="15.75">
      <c r="A77" s="3"/>
      <c r="B77" s="6"/>
      <c r="C77" s="6"/>
    </row>
    <row r="78" spans="1:3" ht="15.75">
      <c r="A78" s="3"/>
      <c r="B78" s="6"/>
      <c r="C78" s="6"/>
    </row>
    <row r="79" spans="1:3" ht="15.75">
      <c r="A79" s="3"/>
      <c r="B79" s="6"/>
      <c r="C79" s="6"/>
    </row>
    <row r="80" spans="1:3" ht="15.75">
      <c r="A80" s="3"/>
      <c r="B80" s="6"/>
      <c r="C80" s="6"/>
    </row>
    <row r="81" spans="1:3" ht="15.75">
      <c r="A81" s="3"/>
      <c r="B81" s="4"/>
      <c r="C81" s="4"/>
    </row>
    <row r="82" spans="1:3" ht="15.75">
      <c r="A82" s="3"/>
      <c r="B82" s="4"/>
      <c r="C82" s="4"/>
    </row>
    <row r="83" spans="1:3" ht="15.75">
      <c r="A83" s="3"/>
      <c r="B83" s="4"/>
      <c r="C83" s="4"/>
    </row>
    <row r="84" spans="1:3" ht="15.75">
      <c r="A84" s="3"/>
      <c r="B84" s="4"/>
      <c r="C84" s="4"/>
    </row>
    <row r="85" spans="1:3" ht="15.75">
      <c r="A85" s="3"/>
      <c r="B85" s="4"/>
      <c r="C85" s="4"/>
    </row>
    <row r="86" spans="1:3" ht="15.75">
      <c r="A86" s="3"/>
      <c r="B86" s="4"/>
      <c r="C86" s="4"/>
    </row>
    <row r="87" spans="1:3" ht="15.75">
      <c r="A87" s="3"/>
      <c r="B87" s="4"/>
      <c r="C87" s="4"/>
    </row>
    <row r="88" spans="1:3" ht="15.75">
      <c r="A88" s="3"/>
      <c r="B88" s="4"/>
      <c r="C88" s="4"/>
    </row>
    <row r="89" spans="1:3" ht="15.75">
      <c r="A89" s="3"/>
      <c r="B89" s="4"/>
      <c r="C89" s="4"/>
    </row>
    <row r="90" spans="1:3" ht="15.75">
      <c r="A90" s="3"/>
      <c r="B90" s="4"/>
      <c r="C90" s="4"/>
    </row>
    <row r="91" spans="1:3" ht="15.75">
      <c r="A91" s="3"/>
      <c r="B91" s="4"/>
      <c r="C91" s="4"/>
    </row>
    <row r="92" spans="1:3" ht="15.75">
      <c r="A92" s="3"/>
      <c r="B92" s="4"/>
      <c r="C92" s="4"/>
    </row>
    <row r="93" spans="1:3" ht="15.75">
      <c r="A93" s="3"/>
      <c r="B93" s="4"/>
      <c r="C93" s="4"/>
    </row>
    <row r="94" spans="1:3" ht="15.75">
      <c r="A94" s="3"/>
      <c r="B94" s="4"/>
      <c r="C94" s="4"/>
    </row>
    <row r="95" spans="1:3" ht="15.75">
      <c r="A95" s="3"/>
      <c r="B95" s="4"/>
      <c r="C95" s="4"/>
    </row>
    <row r="96" spans="1:3" ht="15.75">
      <c r="A96" s="3"/>
      <c r="B96" s="4"/>
      <c r="C96" s="4"/>
    </row>
    <row r="97" spans="1:3" ht="15.75">
      <c r="A97" s="3"/>
      <c r="B97" s="4"/>
      <c r="C97" s="4"/>
    </row>
    <row r="98" spans="1:3" ht="15.75">
      <c r="A98" s="3"/>
      <c r="B98" s="4"/>
      <c r="C98" s="4"/>
    </row>
    <row r="99" spans="1:3" ht="15.75">
      <c r="A99" s="3"/>
      <c r="B99" s="4"/>
      <c r="C99" s="4"/>
    </row>
    <row r="100" spans="1:3" ht="15.75">
      <c r="A100" s="3"/>
      <c r="B100" s="4"/>
      <c r="C100" s="4"/>
    </row>
    <row r="101" spans="1:3" ht="15.75">
      <c r="A101" s="3"/>
      <c r="B101" s="4"/>
      <c r="C101" s="4"/>
    </row>
    <row r="102" spans="1:3" ht="15.75">
      <c r="A102" s="3"/>
      <c r="B102" s="4"/>
      <c r="C102" s="4"/>
    </row>
    <row r="103" spans="1:3" ht="15.75">
      <c r="A103" s="3"/>
      <c r="B103" s="4"/>
      <c r="C103" s="4"/>
    </row>
    <row r="104" spans="1:3" ht="15.75">
      <c r="A104" s="3"/>
      <c r="B104" s="4"/>
      <c r="C104" s="4"/>
    </row>
    <row r="105" spans="1:3" ht="15.75">
      <c r="A105" s="3"/>
      <c r="B105" s="4"/>
      <c r="C105" s="4"/>
    </row>
    <row r="106" spans="1:3" ht="15.75">
      <c r="A106" s="3"/>
      <c r="B106" s="4"/>
      <c r="C106" s="4"/>
    </row>
    <row r="107" spans="1:3" ht="15.75">
      <c r="A107" s="3"/>
      <c r="B107" s="4"/>
      <c r="C107" s="4"/>
    </row>
    <row r="108" spans="1:3" ht="15.75">
      <c r="A108" s="3"/>
      <c r="B108" s="4"/>
      <c r="C108" s="4"/>
    </row>
    <row r="109" spans="1:3" ht="15.75">
      <c r="A109" s="3"/>
      <c r="B109" s="4"/>
      <c r="C109" s="4"/>
    </row>
    <row r="110" spans="1:3" ht="15.75">
      <c r="A110" s="3"/>
      <c r="B110" s="4"/>
      <c r="C110" s="4"/>
    </row>
    <row r="111" spans="1:3" ht="15.75">
      <c r="A111" s="3"/>
      <c r="B111" s="4"/>
      <c r="C111" s="4"/>
    </row>
    <row r="112" spans="1:3" ht="15.75">
      <c r="A112" s="3"/>
      <c r="B112" s="4"/>
      <c r="C112" s="4"/>
    </row>
    <row r="113" spans="1:3" ht="15.75">
      <c r="A113" s="3"/>
      <c r="B113" s="4"/>
      <c r="C113" s="4"/>
    </row>
    <row r="114" spans="1:3" ht="15.75">
      <c r="A114" s="3"/>
      <c r="B114" s="4"/>
      <c r="C114" s="4"/>
    </row>
    <row r="115" spans="1:3" ht="15.75">
      <c r="A115" s="10"/>
      <c r="B115" s="11"/>
      <c r="C115" s="11"/>
    </row>
    <row r="116" spans="1:3" ht="15.75">
      <c r="A116" s="11"/>
      <c r="B116" s="11"/>
      <c r="C116" s="11"/>
    </row>
    <row r="117" spans="1:3" ht="15.75">
      <c r="A117" s="10"/>
      <c r="B117" s="10"/>
      <c r="C117" s="10"/>
    </row>
  </sheetData>
  <sheetProtection/>
  <mergeCells count="5">
    <mergeCell ref="A70:C70"/>
    <mergeCell ref="A3:A5"/>
    <mergeCell ref="B3:B5"/>
    <mergeCell ref="B1:C1"/>
    <mergeCell ref="A2:C2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2018-05-10T14:10:55Z</cp:lastPrinted>
  <dcterms:created xsi:type="dcterms:W3CDTF">2005-01-25T12:19:56Z</dcterms:created>
  <dcterms:modified xsi:type="dcterms:W3CDTF">2018-05-15T13:36:56Z</dcterms:modified>
  <cp:category/>
  <cp:version/>
  <cp:contentType/>
  <cp:contentStatus/>
</cp:coreProperties>
</file>