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120" windowHeight="7995" firstSheet="5" activeTab="7"/>
  </bookViews>
  <sheets>
    <sheet name="ДС" sheetId="1" state="hidden" r:id="rId1"/>
    <sheet name="МЗ-2018" sheetId="2" state="hidden" r:id="rId2"/>
    <sheet name="МЗ-корректировка" sheetId="3" state="hidden" r:id="rId3"/>
    <sheet name="Полное финобеспечение-факт" sheetId="4" state="hidden" r:id="rId4"/>
    <sheet name="Для корректировки" sheetId="5" state="hidden" r:id="rId5"/>
    <sheet name="Корректировка" sheetId="6" r:id="rId6"/>
    <sheet name="Общехоз." sheetId="7" state="hidden" r:id="rId7"/>
    <sheet name="Общехоз.  на образование" sheetId="8" r:id="rId8"/>
    <sheet name="ФО на МЗ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Titles" localSheetId="4">'Для корректировки'!$A:$A,'Для корректировки'!$4:$6</definedName>
    <definedName name="_xlnm.Print_Titles" localSheetId="0">'ДС'!$A:$A,'ДС'!$3:$5</definedName>
    <definedName name="_xlnm.Print_Titles" localSheetId="5">'Корректировка'!$A:$A,'Корректировка'!$4:$6</definedName>
    <definedName name="_xlnm.Print_Titles" localSheetId="1">'МЗ-2018'!$A:$A,'МЗ-2018'!$3:$5</definedName>
    <definedName name="_xlnm.Print_Titles" localSheetId="2">'МЗ-корректировка'!$A:$A,'МЗ-корректировка'!$3:$5</definedName>
    <definedName name="_xlnm.Print_Titles" localSheetId="6">'Общехоз.'!$A:$B,'Общехоз.'!$3:$6</definedName>
    <definedName name="_xlnm.Print_Titles" localSheetId="7">'Общехоз.  на образование'!$A:$B,'Общехоз.  на образование'!$3:$6</definedName>
    <definedName name="_xlnm.Print_Titles" localSheetId="3">'Полное финобеспечение-факт'!$A:$A,'Полное финобеспечение-факт'!$3:$5</definedName>
    <definedName name="_xlnm.Print_Titles" localSheetId="8">'ФО на МЗ'!$A:$A,'ФО на МЗ'!$4:$6</definedName>
    <definedName name="_xlnm.Print_Area" localSheetId="4">'Для корректировки'!$A$1:$P$52</definedName>
    <definedName name="_xlnm.Print_Area" localSheetId="0">'ДС'!$A$1:$P$51</definedName>
    <definedName name="_xlnm.Print_Area" localSheetId="5">'Корректировка'!$A$1:$G$52</definedName>
    <definedName name="_xlnm.Print_Area" localSheetId="1">'МЗ-2018'!$A$1:$P$51</definedName>
    <definedName name="_xlnm.Print_Area" localSheetId="2">'МЗ-корректировка'!$A$1:$P$51</definedName>
    <definedName name="_xlnm.Print_Area" localSheetId="6">'Общехоз.'!$A$1:$T$53</definedName>
    <definedName name="_xlnm.Print_Area" localSheetId="7">'Общехоз.  на образование'!$A$1:$P$53</definedName>
    <definedName name="_xlnm.Print_Area" localSheetId="3">'Полное финобеспечение-факт'!$A$1:$I$51</definedName>
    <definedName name="_xlnm.Print_Area" localSheetId="8">'ФО на МЗ'!$A$1:$E$52</definedName>
  </definedNames>
  <calcPr fullCalcOnLoad="1"/>
</workbook>
</file>

<file path=xl/sharedStrings.xml><?xml version="1.0" encoding="utf-8"?>
<sst xmlns="http://schemas.openxmlformats.org/spreadsheetml/2006/main" count="615" uniqueCount="135">
  <si>
    <t>Наименование школы</t>
  </si>
  <si>
    <t>реализация основных общеобразовательных программ дошкольного образования</t>
  </si>
  <si>
    <t>МБДОУ ДС №1</t>
  </si>
  <si>
    <t>МБДОУ ДС №3</t>
  </si>
  <si>
    <t>МБДОУ ДС №6</t>
  </si>
  <si>
    <t>МБДОУ ДС №7</t>
  </si>
  <si>
    <t>МБДОУ ДС №8</t>
  </si>
  <si>
    <t>МБДОУ ДС №41</t>
  </si>
  <si>
    <t>МБДОУ ДС №42</t>
  </si>
  <si>
    <t>МБДОУ ДС №43</t>
  </si>
  <si>
    <t>МБДОУ ДС №46</t>
  </si>
  <si>
    <t>МБДОУ ДС №56</t>
  </si>
  <si>
    <t>МБДОУ ДС "Теремок"</t>
  </si>
  <si>
    <t>МБДОУ ДС №17</t>
  </si>
  <si>
    <t>МБДОУ ДС №19</t>
  </si>
  <si>
    <t>МБДОУ ДС №23</t>
  </si>
  <si>
    <t>МБДОУ ДС №25</t>
  </si>
  <si>
    <t>МБДОУ ДС №35</t>
  </si>
  <si>
    <t>МБДОУ ДС №36</t>
  </si>
  <si>
    <t>МБДОУ ДС №40</t>
  </si>
  <si>
    <t>МБДОУ ДС №45</t>
  </si>
  <si>
    <t>МБДОУ ДС №52</t>
  </si>
  <si>
    <t>МБДОУ ДС №59</t>
  </si>
  <si>
    <t>МБДОУ ДС №78</t>
  </si>
  <si>
    <t>МБДОУ ДС №87</t>
  </si>
  <si>
    <t>МБДОУ ДС №16</t>
  </si>
  <si>
    <t>МБДОУ ДС №15</t>
  </si>
  <si>
    <t>МБДОУ ДС №29</t>
  </si>
  <si>
    <t>МБДОУ ДС №32</t>
  </si>
  <si>
    <t>МБДОУ ДС №33</t>
  </si>
  <si>
    <t>МБДОУ ДС №34</t>
  </si>
  <si>
    <t>МБДОУ ДС №57</t>
  </si>
  <si>
    <t>МБДОУ ДС №58</t>
  </si>
  <si>
    <t>МБДОУ ДС №64</t>
  </si>
  <si>
    <t>МБДОУ ДС №66</t>
  </si>
  <si>
    <t>МБДОУ ДС №67</t>
  </si>
  <si>
    <t>МБДОУ ДС №70</t>
  </si>
  <si>
    <t>МБДОУ ДС №71</t>
  </si>
  <si>
    <t>МБДОУ ДС №72</t>
  </si>
  <si>
    <t>МБДОУ ДС №73</t>
  </si>
  <si>
    <t>МБДОУ ДС №75</t>
  </si>
  <si>
    <t>МБДОУ ДС №80</t>
  </si>
  <si>
    <t>МБДОУ ДС №82</t>
  </si>
  <si>
    <t>МБДОУ ДС №83</t>
  </si>
  <si>
    <t>МБДОУ ДС №106</t>
  </si>
  <si>
    <t>МБДОУ Погореловский ДС "Казачок"</t>
  </si>
  <si>
    <t>МБДОУ Какичевский ДС "Вишенка"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</si>
  <si>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</si>
  <si>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</si>
  <si>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реализация адаптированных образовательных программ дошкольного образования</t>
  </si>
  <si>
    <t>обучающиеся от 3 лет до 8 лет с ОВЗ</t>
  </si>
  <si>
    <t>Итого детские сады</t>
  </si>
  <si>
    <t>Режим работы, час</t>
  </si>
  <si>
    <t>Финансовое обеспечение  муниципальных услуг  в части затрат на МЗ,    тыс. руб.руб.</t>
  </si>
  <si>
    <t>Наименование образовательной организации</t>
  </si>
  <si>
    <t>Итого дошкольные образовательные организации</t>
  </si>
  <si>
    <t>Наименование и объем услуги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</si>
  <si>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</si>
  <si>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</si>
  <si>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</si>
  <si>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</si>
  <si>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Нормативы затрат на оказание муниципальных услуг  в части затрат на оплату труда,    руб.</t>
  </si>
  <si>
    <t>Отраслевые  корректирующие коэффициенты затрат, непосредственно связанных с оказанием муниципальных услуг, учитывающие фактическую наполняемость групп</t>
  </si>
  <si>
    <t>Нормативы затрат на оказание муниципальных услуг  в части затрат на материальные затраты,    руб.</t>
  </si>
  <si>
    <t>Всего в расчете на год, тыс. руб.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</si>
  <si>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предалах бюджетных ассигнованиий, предусмотренных Отделу образования</t>
  </si>
  <si>
    <t>МЗ, тыс. руб.</t>
  </si>
  <si>
    <t>Всего финобеспечение, тыс. руб.</t>
  </si>
  <si>
    <t>к ФОТ</t>
  </si>
  <si>
    <t>ФОТ по расчету, тыс. руб.</t>
  </si>
  <si>
    <t>Дефицит (-), излишек (+) к расчету, тыс. руб.</t>
  </si>
  <si>
    <t>Финансовое обеспечение  муниципальных услуг  в части затрат на оплату труда на 8 месяцев, тыс. руб.</t>
  </si>
  <si>
    <t>Всего в расчете на 8 месяцев, тыс. руб.</t>
  </si>
  <si>
    <t>ФОТ-5 м , тыс. руб.</t>
  </si>
  <si>
    <t>Изменение лимитов( ст.211+ст.213), тыс. руб.</t>
  </si>
  <si>
    <t>в том числе:</t>
  </si>
  <si>
    <t>ст.211, тыс. руб.</t>
  </si>
  <si>
    <t>ст.213, тыс. руб.</t>
  </si>
  <si>
    <t>Приложение №3</t>
  </si>
  <si>
    <t>Режим работы образовательной организации, час</t>
  </si>
  <si>
    <t>Наименование и объем муниципальной услуги</t>
  </si>
  <si>
    <t>Отраслевые  корректирующие коэффициенты затрат, непосредственно связанных с оказанием муниципальных услуг, учитывающие фактическую наполняемость групп по сравнению с установленной при расчете нормативных затрат</t>
  </si>
  <si>
    <t>обучающиеся от 1 года до 3 лет, за исключением обучающихся с ОВЗ и детей-инвалидов, чел.</t>
  </si>
  <si>
    <t>Расчет финансового обеспечения выполнения муниципального задания на оказание  муниципальных услуг  в части затрат на оплату труда работников, непосредствено связанных с оказанием муниципальных услуг на 8 месяцев (май-декабрь) 2018 года,  тыс. руб.</t>
  </si>
  <si>
    <t>Нормативы затрат на оказание муниципальных услуг  в части затрат на оплату труда работников, непосредственно связанных с оказанием муниципальных услуг, на 01.05.2018 года,  руб.</t>
  </si>
  <si>
    <t>Финансовое обеспечение  выполнения  муниципального задания на оказание муниципальных услуг  в части затрат на оплату труда работников, непосредственно связанных с оказанием муниципальных услуг,  на 8 месяцев (май-декабрь) 2018 года, тыс. руб.</t>
  </si>
  <si>
    <t>Всего в расчете на 8 месяцев (май-декабрь) 2018 года, тыс. руб.</t>
  </si>
  <si>
    <t>Приложение №5</t>
  </si>
  <si>
    <t>№п/п</t>
  </si>
  <si>
    <t>Наименование и объём  услуги</t>
  </si>
  <si>
    <t>Общехозяйственные на 01.01.2018 года, тыс. руб.</t>
  </si>
  <si>
    <t xml:space="preserve">На 11163,00, тыс. руб.  </t>
  </si>
  <si>
    <t>Общехозяйственные с 11163,00, тыс. руб.</t>
  </si>
  <si>
    <t>Отклонение, тыс. руб.</t>
  </si>
  <si>
    <t>Присмотр и уход</t>
  </si>
  <si>
    <t xml:space="preserve"> расходы на общехозяйственные нужды на одного ребенка , руб./год</t>
  </si>
  <si>
    <t>потребители услуги</t>
  </si>
  <si>
    <t>базовый норматив затрат на общехозяйственные нужды на одного ребенка , руб./год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</si>
  <si>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</si>
  <si>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физические лица от 1 года  до 3 лет за исключением льготных категорий, чел.</t>
  </si>
  <si>
    <t>дети-сироты и дети, оставшиеся без попечения родителей, от 1 года до 3 лет, чел.</t>
  </si>
  <si>
    <t>дети-инвалиды от 1 года до 3 лет, чел.</t>
  </si>
  <si>
    <t>физические лица от 3 лет  до 8 лет за исключением льготных категорий, чел.</t>
  </si>
  <si>
    <t>дети-сироты и дети, оставшиеся без попечения родителей, от 3 лет до 8 лет, чел.</t>
  </si>
  <si>
    <t>дети-инвалиды от 3 лет до 8 лет, чел.</t>
  </si>
  <si>
    <t>МБОУ НШ №1</t>
  </si>
  <si>
    <t>МБОУ Насонтовская ООШ</t>
  </si>
  <si>
    <t>Итого дошкольные группы общеобразовательных организаций</t>
  </si>
  <si>
    <t>Приложение №4</t>
  </si>
  <si>
    <t>финансовое обеспечение за счет затрат на общехозяйственные нуждыт физических лиц от 1 года до 3 лет за исключением льготных категорий, тыс. руб.</t>
  </si>
  <si>
    <t>финансовое обеспечение за счет затрат на общехозяйственные нужды от 1 года до 3 лет, тыс. руб.</t>
  </si>
  <si>
    <t>финансовое обеспечение за счет затрат на общехозяйственные нужды детей -инвалидов от 1 года до 3 лет, тыс. руб.</t>
  </si>
  <si>
    <t>финансовое обеспечение за счет затрат на общехозяйственные нужды всех категорий получателей муниципальной услуги, тыс. руб.</t>
  </si>
  <si>
    <t>Реализация основных общеобразовательных программ дошкольного образования</t>
  </si>
  <si>
    <t>обучающиеся  от 1 года  до 3 лет за исключением обучающихся с ОВЗ и детей-инвалидов, чел.</t>
  </si>
  <si>
    <t>базовый норматив затрат на общехозяйственные нужды на одного обучающегося , руб./год</t>
  </si>
  <si>
    <t>финансовое обеспечение за счет затрат на общехозяйственные нужды обучающихся от 1 года до 3 лет за исключением обучающихся с ОВЗ и детей-инвалидов, тыс. руб.</t>
  </si>
  <si>
    <t>Реализация основных общеобразовательных программ дошкольного образования (адаптированная образовательная программа)</t>
  </si>
  <si>
    <t>Наименование и объём  муниципальной услуги</t>
  </si>
  <si>
    <t>обучающиеся  от 3 лет до  8 лет за исключением обучающихся с ОВЗ и детей-инвалидов, чел.</t>
  </si>
  <si>
    <t>финансовое обеспечение за счет затрат на общехозяйственные нужды обучающихся от 3 лет до 8 лет за исключением обучающихся с ОВЗ и детей-инвалидов, тыс. руб.</t>
  </si>
  <si>
    <t>финансовое обеспечение за счет затрат на общехозяйственные нужды обучающихся от 3 лет до 8 лет  с ОВЗ , тыс. руб.</t>
  </si>
  <si>
    <t>Финансовое обеспечение выполнения муниципального задания на оказание  муниципальной услуги по реализации основных общеобразовательных программ дошкольного образования на 2018 год,  тыс. руб.</t>
  </si>
  <si>
    <t>Финансовое обеспечение  выполнения  муниципального задания на оказание муниципальной услуги по реализации основных общеобразовательных программ дошкольного образования  в части затрат на оплату труда работников, непосредственно связанных с оказанием муниципальной  услуги, на 2018 год, тыс. руб.</t>
  </si>
  <si>
    <t>Финансовое обеспечение  выполнения  муниципального задания на оказание муниципальной услуги по реализации основных общеобразовательных программ дошкольного образования  в части затрат на оплату труда работников, непосредственно связанных с оказанием муниципальной услуги,  на 4 месяца январь-апрель) 2018 года, тыс. руб.</t>
  </si>
  <si>
    <t>Финансовое обеспечение  выполнения  муниципального задания на оказание муниципальной услуги по реализации основных общеобразовательных программ дошкольного образования  в части затрат на оплату труда работников, непосредственно связанных с оказанием муниципальной услуги,  на 8 месяцев (май-декабрь) 2018 года, тыс. руб.</t>
  </si>
  <si>
    <t>Финансовое обеспечение  выполнения  муниципального задания на оказание муниципальной услуги по реализации основных общеобразовательных программ дошкольного образования  в части затрат на приобретение материальных запасов и иных затрат, непосредственно связанных с оказанием муниципальной услуги,  на 2018 год, тыс. руб.</t>
  </si>
  <si>
    <t>Финансовое обеспечение  выполнения  муниципального задания на оказание муниципальной услуги по реализации основных общеобразовательных программ дошкольного образовпния  в части затрат на общехозяйственные нужды  на 2018 год, тыс. руб.</t>
  </si>
  <si>
    <t>Финансовое обеспечение  выполнения  муниципального задания на оказание муниципальной услуги по реализации основных общеобразовательных программ дошкольного образовпния  на 2018 год, тыс. руб.</t>
  </si>
  <si>
    <t>Приложение №6</t>
  </si>
  <si>
    <t>Финансовое обеспечение выполнения муниципального задания дошкольными образовательными организациями на 2018 год,  тыс. руб.</t>
  </si>
  <si>
    <t>Финансовое обеспечение  выполнения  муниципального задания на оказание муниципальной услуги по присмотру и уходу  на 2018 год, тыс. руб.</t>
  </si>
  <si>
    <t>Затраты на уплату налогов, тыс. руб.</t>
  </si>
  <si>
    <t>Финансовое обеспечение  выполнения  муниципального задания дошкольными образовательными организациями  на 2018 год, тыс. руб.</t>
  </si>
  <si>
    <t>налоги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</si>
</sst>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center" vertical="center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center" vertical="center"/>
      <protection/>
    </xf>
    <xf numFmtId="177" fontId="5" fillId="33" borderId="0" xfId="54" applyNumberFormat="1" applyFont="1" applyFill="1" applyAlignment="1">
      <alignment horizontal="center" vertical="center"/>
      <protection/>
    </xf>
    <xf numFmtId="177" fontId="5" fillId="33" borderId="0" xfId="54" applyNumberFormat="1" applyFont="1" applyFill="1" applyBorder="1" applyAlignment="1">
      <alignment horizontal="center" vertical="center"/>
      <protection/>
    </xf>
    <xf numFmtId="0" fontId="6" fillId="33" borderId="0" xfId="54" applyFont="1" applyFill="1" applyAlignment="1">
      <alignment vertical="center"/>
      <protection/>
    </xf>
    <xf numFmtId="0" fontId="4" fillId="33" borderId="0" xfId="54" applyFont="1" applyFill="1" applyAlignment="1">
      <alignment vertical="center"/>
      <protection/>
    </xf>
    <xf numFmtId="177" fontId="4" fillId="33" borderId="0" xfId="54" applyNumberFormat="1" applyFont="1" applyFill="1" applyAlignment="1">
      <alignment vertical="center"/>
      <protection/>
    </xf>
    <xf numFmtId="0" fontId="9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0" fontId="6" fillId="33" borderId="0" xfId="54" applyFont="1" applyFill="1" applyAlignment="1">
      <alignment vertical="center" wrapText="1"/>
      <protection/>
    </xf>
    <xf numFmtId="2" fontId="4" fillId="33" borderId="13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center" wrapText="1"/>
      <protection/>
    </xf>
    <xf numFmtId="177" fontId="4" fillId="33" borderId="0" xfId="54" applyNumberFormat="1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0" fontId="10" fillId="33" borderId="0" xfId="0" applyFont="1" applyFill="1" applyAlignment="1">
      <alignment vertical="center"/>
    </xf>
    <xf numFmtId="0" fontId="5" fillId="33" borderId="14" xfId="54" applyFont="1" applyFill="1" applyBorder="1" applyAlignment="1">
      <alignment vertical="center" wrapText="1"/>
      <protection/>
    </xf>
    <xf numFmtId="2" fontId="5" fillId="33" borderId="13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horizontal="left" vertical="center"/>
      <protection/>
    </xf>
    <xf numFmtId="0" fontId="5" fillId="33" borderId="0" xfId="54" applyFont="1" applyFill="1" applyBorder="1" applyAlignment="1">
      <alignment vertical="center" wrapText="1"/>
      <protection/>
    </xf>
    <xf numFmtId="177" fontId="5" fillId="33" borderId="0" xfId="54" applyNumberFormat="1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center"/>
      <protection/>
    </xf>
    <xf numFmtId="3" fontId="8" fillId="33" borderId="12" xfId="54" applyNumberFormat="1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center" vertical="center"/>
      <protection/>
    </xf>
    <xf numFmtId="0" fontId="6" fillId="33" borderId="0" xfId="54" applyFont="1" applyFill="1" applyBorder="1" applyAlignment="1">
      <alignment vertical="center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3" fontId="6" fillId="33" borderId="12" xfId="54" applyNumberFormat="1" applyFont="1" applyFill="1" applyBorder="1" applyAlignment="1">
      <alignment horizontal="center" vertical="center"/>
      <protection/>
    </xf>
    <xf numFmtId="3" fontId="6" fillId="33" borderId="12" xfId="54" applyNumberFormat="1" applyFont="1" applyFill="1" applyBorder="1" applyAlignment="1">
      <alignment horizontal="center" vertical="center" wrapText="1"/>
      <protection/>
    </xf>
    <xf numFmtId="180" fontId="6" fillId="33" borderId="12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horizontal="center" vertical="center"/>
      <protection/>
    </xf>
    <xf numFmtId="180" fontId="6" fillId="34" borderId="12" xfId="54" applyNumberFormat="1" applyFont="1" applyFill="1" applyBorder="1" applyAlignment="1">
      <alignment horizontal="center" vertical="center"/>
      <protection/>
    </xf>
    <xf numFmtId="0" fontId="6" fillId="34" borderId="0" xfId="54" applyFont="1" applyFill="1" applyAlignment="1">
      <alignment vertical="center"/>
      <protection/>
    </xf>
    <xf numFmtId="0" fontId="9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4" fontId="6" fillId="33" borderId="12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vertical="center"/>
      <protection/>
    </xf>
    <xf numFmtId="177" fontId="5" fillId="33" borderId="12" xfId="54" applyNumberFormat="1" applyFont="1" applyFill="1" applyBorder="1" applyAlignment="1">
      <alignment horizontal="center" vertical="center" wrapText="1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0" fontId="5" fillId="33" borderId="0" xfId="54" applyFont="1" applyFill="1" applyAlignment="1">
      <alignment horizontal="center" vertical="center"/>
      <protection/>
    </xf>
    <xf numFmtId="0" fontId="6" fillId="33" borderId="0" xfId="54" applyFont="1" applyFill="1" applyAlignment="1">
      <alignment horizontal="center" vertical="center"/>
      <protection/>
    </xf>
    <xf numFmtId="3" fontId="5" fillId="33" borderId="13" xfId="54" applyNumberFormat="1" applyFont="1" applyFill="1" applyBorder="1" applyAlignment="1">
      <alignment horizontal="center" vertical="center" wrapText="1"/>
      <protection/>
    </xf>
    <xf numFmtId="4" fontId="6" fillId="33" borderId="0" xfId="54" applyNumberFormat="1" applyFont="1" applyFill="1" applyAlignment="1">
      <alignment horizontal="center" vertical="center"/>
      <protection/>
    </xf>
    <xf numFmtId="3" fontId="6" fillId="33" borderId="0" xfId="54" applyNumberFormat="1" applyFont="1" applyFill="1" applyAlignment="1">
      <alignment horizontal="center" vertical="center"/>
      <protection/>
    </xf>
    <xf numFmtId="1" fontId="4" fillId="33" borderId="13" xfId="54" applyNumberFormat="1" applyFont="1" applyFill="1" applyBorder="1" applyAlignment="1">
      <alignment horizontal="center" vertical="center" wrapText="1"/>
      <protection/>
    </xf>
    <xf numFmtId="1" fontId="4" fillId="33" borderId="0" xfId="54" applyNumberFormat="1" applyFont="1" applyFill="1" applyBorder="1" applyAlignment="1">
      <alignment horizontal="center" vertical="center"/>
      <protection/>
    </xf>
    <xf numFmtId="1" fontId="4" fillId="33" borderId="0" xfId="54" applyNumberFormat="1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2" fontId="5" fillId="33" borderId="15" xfId="54" applyNumberFormat="1" applyFont="1" applyFill="1" applyBorder="1" applyAlignment="1">
      <alignment wrapText="1"/>
      <protection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horizontal="center" wrapText="1"/>
    </xf>
    <xf numFmtId="4" fontId="6" fillId="33" borderId="12" xfId="54" applyNumberFormat="1" applyFont="1" applyFill="1" applyBorder="1" applyAlignment="1">
      <alignment horizontal="center" wrapText="1"/>
      <protection/>
    </xf>
    <xf numFmtId="0" fontId="6" fillId="33" borderId="0" xfId="54" applyFont="1" applyFill="1" applyAlignment="1">
      <alignment wrapText="1"/>
      <protection/>
    </xf>
    <xf numFmtId="3" fontId="6" fillId="33" borderId="12" xfId="54" applyNumberFormat="1" applyFont="1" applyFill="1" applyBorder="1" applyAlignment="1">
      <alignment horizontal="center" wrapText="1"/>
      <protection/>
    </xf>
    <xf numFmtId="180" fontId="6" fillId="33" borderId="12" xfId="54" applyNumberFormat="1" applyFont="1" applyFill="1" applyBorder="1" applyAlignment="1">
      <alignment horizontal="center" wrapText="1"/>
      <protection/>
    </xf>
    <xf numFmtId="0" fontId="9" fillId="33" borderId="15" xfId="0" applyFont="1" applyFill="1" applyBorder="1" applyAlignment="1">
      <alignment horizontal="center" wrapText="1"/>
    </xf>
    <xf numFmtId="0" fontId="5" fillId="33" borderId="16" xfId="54" applyFont="1" applyFill="1" applyBorder="1" applyAlignment="1">
      <alignment wrapText="1"/>
      <protection/>
    </xf>
    <xf numFmtId="3" fontId="8" fillId="33" borderId="12" xfId="54" applyNumberFormat="1" applyFont="1" applyFill="1" applyBorder="1" applyAlignment="1">
      <alignment horizontal="center" wrapText="1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1" fontId="9" fillId="35" borderId="11" xfId="54" applyNumberFormat="1" applyFont="1" applyFill="1" applyBorder="1" applyAlignment="1">
      <alignment horizontal="center" wrapText="1"/>
      <protection/>
    </xf>
    <xf numFmtId="0" fontId="6" fillId="35" borderId="17" xfId="54" applyFont="1" applyFill="1" applyBorder="1" applyAlignment="1">
      <alignment horizontal="center" wrapText="1"/>
      <protection/>
    </xf>
    <xf numFmtId="1" fontId="9" fillId="35" borderId="12" xfId="54" applyNumberFormat="1" applyFont="1" applyFill="1" applyBorder="1" applyAlignment="1">
      <alignment horizontal="center" wrapText="1"/>
      <protection/>
    </xf>
    <xf numFmtId="1" fontId="9" fillId="35" borderId="17" xfId="54" applyNumberFormat="1" applyFont="1" applyFill="1" applyBorder="1" applyAlignment="1">
      <alignment horizontal="center" wrapText="1"/>
      <protection/>
    </xf>
    <xf numFmtId="1" fontId="9" fillId="36" borderId="18" xfId="55" applyNumberFormat="1" applyFont="1" applyFill="1" applyBorder="1" applyAlignment="1">
      <alignment horizontal="center" wrapText="1"/>
      <protection/>
    </xf>
    <xf numFmtId="0" fontId="6" fillId="36" borderId="19" xfId="55" applyFont="1" applyFill="1" applyBorder="1" applyAlignment="1">
      <alignment horizontal="center" wrapText="1"/>
      <protection/>
    </xf>
    <xf numFmtId="1" fontId="6" fillId="35" borderId="17" xfId="54" applyNumberFormat="1" applyFont="1" applyFill="1" applyBorder="1" applyAlignment="1">
      <alignment horizontal="center" wrapText="1"/>
      <protection/>
    </xf>
    <xf numFmtId="0" fontId="9" fillId="35" borderId="17" xfId="54" applyFont="1" applyFill="1" applyBorder="1" applyAlignment="1">
      <alignment horizontal="center" wrapText="1"/>
      <protection/>
    </xf>
    <xf numFmtId="1" fontId="9" fillId="35" borderId="20" xfId="54" applyNumberFormat="1" applyFont="1" applyFill="1" applyBorder="1" applyAlignment="1">
      <alignment horizontal="center" wrapText="1"/>
      <protection/>
    </xf>
    <xf numFmtId="1" fontId="9" fillId="35" borderId="21" xfId="54" applyNumberFormat="1" applyFont="1" applyFill="1" applyBorder="1" applyAlignment="1">
      <alignment horizontal="center" wrapText="1"/>
      <protection/>
    </xf>
    <xf numFmtId="3" fontId="9" fillId="35" borderId="12" xfId="54" applyNumberFormat="1" applyFont="1" applyFill="1" applyBorder="1" applyAlignment="1">
      <alignment horizontal="center" wrapText="1"/>
      <protection/>
    </xf>
    <xf numFmtId="1" fontId="9" fillId="35" borderId="22" xfId="54" applyNumberFormat="1" applyFont="1" applyFill="1" applyBorder="1" applyAlignment="1">
      <alignment horizontal="center" wrapText="1"/>
      <protection/>
    </xf>
    <xf numFmtId="3" fontId="8" fillId="35" borderId="16" xfId="54" applyNumberFormat="1" applyFont="1" applyFill="1" applyBorder="1" applyAlignment="1">
      <alignment horizontal="center" wrapText="1"/>
      <protection/>
    </xf>
    <xf numFmtId="3" fontId="8" fillId="35" borderId="17" xfId="54" applyNumberFormat="1" applyFont="1" applyFill="1" applyBorder="1" applyAlignment="1">
      <alignment horizontal="center" wrapText="1"/>
      <protection/>
    </xf>
    <xf numFmtId="177" fontId="6" fillId="33" borderId="12" xfId="54" applyNumberFormat="1" applyFont="1" applyFill="1" applyBorder="1" applyAlignment="1">
      <alignment horizontal="center" vertical="center"/>
      <protection/>
    </xf>
    <xf numFmtId="0" fontId="6" fillId="33" borderId="12" xfId="54" applyFont="1" applyFill="1" applyBorder="1" applyAlignment="1">
      <alignment vertical="center"/>
      <protection/>
    </xf>
    <xf numFmtId="180" fontId="6" fillId="33" borderId="12" xfId="54" applyNumberFormat="1" applyFont="1" applyFill="1" applyBorder="1" applyAlignment="1">
      <alignment vertical="center"/>
      <protection/>
    </xf>
    <xf numFmtId="182" fontId="6" fillId="33" borderId="12" xfId="54" applyNumberFormat="1" applyFont="1" applyFill="1" applyBorder="1" applyAlignment="1">
      <alignment horizontal="center" vertical="center"/>
      <protection/>
    </xf>
    <xf numFmtId="180" fontId="6" fillId="33" borderId="17" xfId="54" applyNumberFormat="1" applyFont="1" applyFill="1" applyBorder="1" applyAlignment="1">
      <alignment vertical="center"/>
      <protection/>
    </xf>
    <xf numFmtId="180" fontId="6" fillId="33" borderId="0" xfId="54" applyNumberFormat="1" applyFont="1" applyFill="1" applyBorder="1" applyAlignment="1">
      <alignment vertical="center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0" fontId="9" fillId="37" borderId="12" xfId="0" applyFont="1" applyFill="1" applyBorder="1" applyAlignment="1">
      <alignment horizontal="center" wrapText="1"/>
    </xf>
    <xf numFmtId="1" fontId="9" fillId="37" borderId="12" xfId="54" applyNumberFormat="1" applyFont="1" applyFill="1" applyBorder="1" applyAlignment="1">
      <alignment horizontal="center" wrapText="1"/>
      <protection/>
    </xf>
    <xf numFmtId="1" fontId="9" fillId="37" borderId="17" xfId="54" applyNumberFormat="1" applyFont="1" applyFill="1" applyBorder="1" applyAlignment="1">
      <alignment horizontal="center" wrapText="1"/>
      <protection/>
    </xf>
    <xf numFmtId="3" fontId="6" fillId="37" borderId="12" xfId="54" applyNumberFormat="1" applyFont="1" applyFill="1" applyBorder="1" applyAlignment="1">
      <alignment horizontal="center" wrapText="1"/>
      <protection/>
    </xf>
    <xf numFmtId="4" fontId="6" fillId="37" borderId="12" xfId="54" applyNumberFormat="1" applyFont="1" applyFill="1" applyBorder="1" applyAlignment="1">
      <alignment horizontal="center" wrapText="1"/>
      <protection/>
    </xf>
    <xf numFmtId="182" fontId="6" fillId="37" borderId="12" xfId="54" applyNumberFormat="1" applyFont="1" applyFill="1" applyBorder="1" applyAlignment="1">
      <alignment horizontal="center" vertical="center"/>
      <protection/>
    </xf>
    <xf numFmtId="180" fontId="6" fillId="37" borderId="12" xfId="54" applyNumberFormat="1" applyFont="1" applyFill="1" applyBorder="1" applyAlignment="1">
      <alignment horizontal="center" wrapText="1"/>
      <protection/>
    </xf>
    <xf numFmtId="0" fontId="6" fillId="37" borderId="0" xfId="54" applyFont="1" applyFill="1" applyAlignment="1">
      <alignment wrapText="1"/>
      <protection/>
    </xf>
    <xf numFmtId="0" fontId="9" fillId="37" borderId="12" xfId="0" applyFont="1" applyFill="1" applyBorder="1" applyAlignment="1">
      <alignment vertical="center"/>
    </xf>
    <xf numFmtId="0" fontId="9" fillId="37" borderId="12" xfId="0" applyFont="1" applyFill="1" applyBorder="1" applyAlignment="1">
      <alignment horizontal="center" vertical="center"/>
    </xf>
    <xf numFmtId="3" fontId="6" fillId="37" borderId="12" xfId="54" applyNumberFormat="1" applyFont="1" applyFill="1" applyBorder="1" applyAlignment="1">
      <alignment horizontal="center" vertical="center"/>
      <protection/>
    </xf>
    <xf numFmtId="4" fontId="6" fillId="37" borderId="12" xfId="54" applyNumberFormat="1" applyFont="1" applyFill="1" applyBorder="1" applyAlignment="1">
      <alignment horizontal="center" vertical="center"/>
      <protection/>
    </xf>
    <xf numFmtId="180" fontId="6" fillId="37" borderId="12" xfId="54" applyNumberFormat="1" applyFont="1" applyFill="1" applyBorder="1" applyAlignment="1">
      <alignment horizontal="center" vertical="center"/>
      <protection/>
    </xf>
    <xf numFmtId="0" fontId="6" fillId="37" borderId="0" xfId="54" applyFont="1" applyFill="1" applyAlignment="1">
      <alignment vertical="center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0" fontId="5" fillId="33" borderId="0" xfId="54" applyFont="1" applyFill="1" applyAlignment="1">
      <alignment horizontal="center" vertical="center"/>
      <protection/>
    </xf>
    <xf numFmtId="0" fontId="6" fillId="33" borderId="0" xfId="54" applyFont="1" applyFill="1" applyAlignment="1">
      <alignment horizontal="center" vertical="center"/>
      <protection/>
    </xf>
    <xf numFmtId="177" fontId="5" fillId="33" borderId="12" xfId="54" applyNumberFormat="1" applyFont="1" applyFill="1" applyBorder="1" applyAlignment="1">
      <alignment horizontal="center" vertical="center" wrapText="1"/>
      <protection/>
    </xf>
    <xf numFmtId="0" fontId="6" fillId="33" borderId="15" xfId="54" applyFont="1" applyFill="1" applyBorder="1" applyAlignment="1">
      <alignment horizontal="center" vertical="center" wrapText="1"/>
      <protection/>
    </xf>
    <xf numFmtId="180" fontId="6" fillId="33" borderId="17" xfId="54" applyNumberFormat="1" applyFont="1" applyFill="1" applyBorder="1" applyAlignment="1">
      <alignment horizontal="center" vertical="center"/>
      <protection/>
    </xf>
    <xf numFmtId="177" fontId="6" fillId="33" borderId="0" xfId="54" applyNumberFormat="1" applyFont="1" applyFill="1" applyBorder="1" applyAlignment="1">
      <alignment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180" fontId="6" fillId="33" borderId="0" xfId="54" applyNumberFormat="1" applyFont="1" applyFill="1" applyBorder="1" applyAlignment="1">
      <alignment vertical="center" wrapText="1"/>
      <protection/>
    </xf>
    <xf numFmtId="177" fontId="6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 applyAlignment="1">
      <alignment vertical="center" wrapText="1"/>
      <protection/>
    </xf>
    <xf numFmtId="180" fontId="6" fillId="33" borderId="0" xfId="54" applyNumberFormat="1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6" fillId="33" borderId="15" xfId="54" applyFont="1" applyFill="1" applyBorder="1" applyAlignment="1">
      <alignment vertical="center" wrapText="1"/>
      <protection/>
    </xf>
    <xf numFmtId="0" fontId="6" fillId="33" borderId="11" xfId="54" applyFont="1" applyFill="1" applyBorder="1" applyAlignment="1">
      <alignment vertical="center" wrapText="1"/>
      <protection/>
    </xf>
    <xf numFmtId="0" fontId="6" fillId="33" borderId="23" xfId="54" applyFont="1" applyFill="1" applyBorder="1" applyAlignment="1">
      <alignment vertical="center" wrapText="1"/>
      <protection/>
    </xf>
    <xf numFmtId="0" fontId="6" fillId="33" borderId="22" xfId="54" applyFont="1" applyFill="1" applyBorder="1" applyAlignment="1">
      <alignment vertical="center" wrapText="1"/>
      <protection/>
    </xf>
    <xf numFmtId="0" fontId="10" fillId="34" borderId="0" xfId="0" applyFont="1" applyFill="1" applyAlignment="1">
      <alignment vertical="center"/>
    </xf>
    <xf numFmtId="0" fontId="6" fillId="35" borderId="0" xfId="54" applyFont="1" applyFill="1" applyAlignment="1">
      <alignment vertical="center"/>
      <protection/>
    </xf>
    <xf numFmtId="180" fontId="6" fillId="35" borderId="12" xfId="54" applyNumberFormat="1" applyFont="1" applyFill="1" applyBorder="1" applyAlignment="1">
      <alignment horizontal="center" vertical="center"/>
      <protection/>
    </xf>
    <xf numFmtId="180" fontId="6" fillId="35" borderId="0" xfId="54" applyNumberFormat="1" applyFont="1" applyFill="1" applyAlignment="1">
      <alignment vertical="center"/>
      <protection/>
    </xf>
    <xf numFmtId="0" fontId="10" fillId="35" borderId="0" xfId="0" applyFont="1" applyFill="1" applyAlignment="1">
      <alignment vertical="center"/>
    </xf>
    <xf numFmtId="182" fontId="6" fillId="33" borderId="12" xfId="54" applyNumberFormat="1" applyFont="1" applyFill="1" applyBorder="1" applyAlignment="1">
      <alignment horizontal="center" wrapText="1"/>
      <protection/>
    </xf>
    <xf numFmtId="0" fontId="9" fillId="35" borderId="12" xfId="0" applyFont="1" applyFill="1" applyBorder="1" applyAlignment="1">
      <alignment wrapText="1"/>
    </xf>
    <xf numFmtId="3" fontId="6" fillId="11" borderId="12" xfId="54" applyNumberFormat="1" applyFont="1" applyFill="1" applyBorder="1" applyAlignment="1">
      <alignment horizontal="center" wrapText="1"/>
      <protection/>
    </xf>
    <xf numFmtId="0" fontId="5" fillId="33" borderId="0" xfId="54" applyFont="1" applyFill="1" applyAlignment="1">
      <alignment horizontal="center" vertical="center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182" fontId="6" fillId="33" borderId="0" xfId="54" applyNumberFormat="1" applyFont="1" applyFill="1" applyAlignment="1">
      <alignment wrapText="1"/>
      <protection/>
    </xf>
    <xf numFmtId="182" fontId="6" fillId="33" borderId="0" xfId="54" applyNumberFormat="1" applyFont="1" applyFill="1" applyAlignment="1">
      <alignment vertical="center"/>
      <protection/>
    </xf>
    <xf numFmtId="182" fontId="10" fillId="33" borderId="0" xfId="0" applyNumberFormat="1" applyFont="1" applyFill="1" applyAlignment="1">
      <alignment vertical="center"/>
    </xf>
    <xf numFmtId="0" fontId="6" fillId="33" borderId="12" xfId="54" applyFont="1" applyFill="1" applyBorder="1" applyAlignment="1">
      <alignment horizontal="center" vertical="center"/>
      <protection/>
    </xf>
    <xf numFmtId="0" fontId="6" fillId="33" borderId="12" xfId="54" applyFont="1" applyFill="1" applyBorder="1" applyAlignment="1">
      <alignment horizont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/>
      <protection/>
    </xf>
    <xf numFmtId="1" fontId="9" fillId="33" borderId="11" xfId="54" applyNumberFormat="1" applyFont="1" applyFill="1" applyBorder="1" applyAlignment="1">
      <alignment horizontal="center" wrapText="1"/>
      <protection/>
    </xf>
    <xf numFmtId="0" fontId="6" fillId="33" borderId="17" xfId="54" applyFont="1" applyFill="1" applyBorder="1" applyAlignment="1">
      <alignment horizontal="center" wrapText="1"/>
      <protection/>
    </xf>
    <xf numFmtId="1" fontId="9" fillId="33" borderId="12" xfId="54" applyNumberFormat="1" applyFont="1" applyFill="1" applyBorder="1" applyAlignment="1">
      <alignment horizontal="center" wrapText="1"/>
      <protection/>
    </xf>
    <xf numFmtId="1" fontId="9" fillId="33" borderId="17" xfId="54" applyNumberFormat="1" applyFont="1" applyFill="1" applyBorder="1" applyAlignment="1">
      <alignment horizontal="center" wrapText="1"/>
      <protection/>
    </xf>
    <xf numFmtId="1" fontId="9" fillId="38" borderId="18" xfId="55" applyNumberFormat="1" applyFont="1" applyFill="1" applyBorder="1" applyAlignment="1">
      <alignment horizontal="center" wrapText="1"/>
      <protection/>
    </xf>
    <xf numFmtId="0" fontId="6" fillId="38" borderId="19" xfId="55" applyFont="1" applyFill="1" applyBorder="1" applyAlignment="1">
      <alignment horizontal="center" wrapText="1"/>
      <protection/>
    </xf>
    <xf numFmtId="1" fontId="6" fillId="33" borderId="17" xfId="54" applyNumberFormat="1" applyFont="1" applyFill="1" applyBorder="1" applyAlignment="1">
      <alignment horizontal="center" wrapText="1"/>
      <protection/>
    </xf>
    <xf numFmtId="0" fontId="9" fillId="33" borderId="17" xfId="54" applyFont="1" applyFill="1" applyBorder="1" applyAlignment="1">
      <alignment horizontal="center" wrapText="1"/>
      <protection/>
    </xf>
    <xf numFmtId="1" fontId="9" fillId="33" borderId="20" xfId="54" applyNumberFormat="1" applyFont="1" applyFill="1" applyBorder="1" applyAlignment="1">
      <alignment horizontal="center" wrapText="1"/>
      <protection/>
    </xf>
    <xf numFmtId="1" fontId="9" fillId="33" borderId="21" xfId="54" applyNumberFormat="1" applyFont="1" applyFill="1" applyBorder="1" applyAlignment="1">
      <alignment horizontal="center" wrapText="1"/>
      <protection/>
    </xf>
    <xf numFmtId="3" fontId="9" fillId="33" borderId="12" xfId="54" applyNumberFormat="1" applyFont="1" applyFill="1" applyBorder="1" applyAlignment="1">
      <alignment horizontal="center" wrapText="1"/>
      <protection/>
    </xf>
    <xf numFmtId="1" fontId="9" fillId="33" borderId="22" xfId="54" applyNumberFormat="1" applyFont="1" applyFill="1" applyBorder="1" applyAlignment="1">
      <alignment horizontal="center" wrapText="1"/>
      <protection/>
    </xf>
    <xf numFmtId="3" fontId="8" fillId="33" borderId="16" xfId="54" applyNumberFormat="1" applyFont="1" applyFill="1" applyBorder="1" applyAlignment="1">
      <alignment horizontal="center" wrapText="1"/>
      <protection/>
    </xf>
    <xf numFmtId="3" fontId="8" fillId="33" borderId="17" xfId="54" applyNumberFormat="1" applyFont="1" applyFill="1" applyBorder="1" applyAlignment="1">
      <alignment horizontal="center" wrapText="1"/>
      <protection/>
    </xf>
    <xf numFmtId="177" fontId="9" fillId="33" borderId="0" xfId="54" applyNumberFormat="1" applyFont="1" applyFill="1" applyBorder="1" applyAlignment="1">
      <alignment vertical="center" wrapText="1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177" fontId="4" fillId="33" borderId="24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>
      <alignment/>
      <protection/>
    </xf>
    <xf numFmtId="0" fontId="50" fillId="33" borderId="25" xfId="54" applyFont="1" applyFill="1" applyBorder="1" applyAlignment="1">
      <alignment horizontal="left"/>
      <protection/>
    </xf>
    <xf numFmtId="0" fontId="5" fillId="33" borderId="0" xfId="54" applyFont="1" applyFill="1" applyAlignment="1">
      <alignment horizontal="center"/>
      <protection/>
    </xf>
    <xf numFmtId="177" fontId="5" fillId="33" borderId="0" xfId="54" applyNumberFormat="1" applyFont="1" applyFill="1" applyAlignment="1">
      <alignment horizontal="center"/>
      <protection/>
    </xf>
    <xf numFmtId="0" fontId="6" fillId="33" borderId="0" xfId="54" applyFont="1" applyFill="1" applyBorder="1">
      <alignment/>
      <protection/>
    </xf>
    <xf numFmtId="1" fontId="4" fillId="33" borderId="11" xfId="54" applyNumberFormat="1" applyFont="1" applyFill="1" applyBorder="1" applyAlignment="1">
      <alignment horizontal="center" vertical="center"/>
      <protection/>
    </xf>
    <xf numFmtId="1" fontId="6" fillId="33" borderId="0" xfId="54" applyNumberFormat="1" applyFont="1" applyFill="1">
      <alignment/>
      <protection/>
    </xf>
    <xf numFmtId="1" fontId="4" fillId="33" borderId="11" xfId="54" applyNumberFormat="1" applyFont="1" applyFill="1" applyBorder="1" applyAlignment="1">
      <alignment horizontal="center"/>
      <protection/>
    </xf>
    <xf numFmtId="2" fontId="9" fillId="33" borderId="12" xfId="0" applyNumberFormat="1" applyFont="1" applyFill="1" applyBorder="1" applyAlignment="1">
      <alignment/>
    </xf>
    <xf numFmtId="180" fontId="9" fillId="33" borderId="12" xfId="54" applyNumberFormat="1" applyFont="1" applyFill="1" applyBorder="1" applyAlignment="1">
      <alignment horizontal="center"/>
      <protection/>
    </xf>
    <xf numFmtId="180" fontId="9" fillId="33" borderId="17" xfId="54" applyNumberFormat="1" applyFont="1" applyFill="1" applyBorder="1" applyAlignment="1">
      <alignment horizontal="center"/>
      <protection/>
    </xf>
    <xf numFmtId="180" fontId="6" fillId="33" borderId="12" xfId="54" applyNumberFormat="1" applyFont="1" applyFill="1" applyBorder="1" applyAlignment="1">
      <alignment horizontal="center"/>
      <protection/>
    </xf>
    <xf numFmtId="0" fontId="6" fillId="33" borderId="12" xfId="54" applyFont="1" applyFill="1" applyBorder="1" applyAlignment="1">
      <alignment horizontal="center"/>
      <protection/>
    </xf>
    <xf numFmtId="2" fontId="6" fillId="33" borderId="0" xfId="54" applyNumberFormat="1" applyFont="1" applyFill="1" applyAlignment="1">
      <alignment/>
      <protection/>
    </xf>
    <xf numFmtId="1" fontId="4" fillId="33" borderId="12" xfId="54" applyNumberFormat="1" applyFont="1" applyFill="1" applyBorder="1" applyAlignment="1">
      <alignment horizontal="center"/>
      <protection/>
    </xf>
    <xf numFmtId="2" fontId="9" fillId="33" borderId="12" xfId="0" applyNumberFormat="1" applyFont="1" applyFill="1" applyBorder="1" applyAlignment="1">
      <alignment wrapText="1"/>
    </xf>
    <xf numFmtId="1" fontId="4" fillId="33" borderId="11" xfId="54" applyNumberFormat="1" applyFont="1" applyFill="1" applyBorder="1" applyAlignment="1">
      <alignment horizontal="center" wrapText="1"/>
      <protection/>
    </xf>
    <xf numFmtId="2" fontId="6" fillId="33" borderId="0" xfId="54" applyNumberFormat="1" applyFont="1" applyFill="1" applyAlignment="1">
      <alignment wrapText="1"/>
      <protection/>
    </xf>
    <xf numFmtId="1" fontId="4" fillId="33" borderId="12" xfId="54" applyNumberFormat="1" applyFont="1" applyFill="1" applyBorder="1" applyAlignment="1">
      <alignment horizontal="center" wrapText="1"/>
      <protection/>
    </xf>
    <xf numFmtId="4" fontId="8" fillId="33" borderId="12" xfId="54" applyNumberFormat="1" applyFont="1" applyFill="1" applyBorder="1" applyAlignment="1">
      <alignment horizontal="center"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17" xfId="54" applyNumberFormat="1" applyFont="1" applyFill="1" applyBorder="1" applyAlignment="1">
      <alignment horizontal="center" wrapText="1"/>
      <protection/>
    </xf>
    <xf numFmtId="180" fontId="13" fillId="33" borderId="12" xfId="54" applyNumberFormat="1" applyFont="1" applyFill="1" applyBorder="1" applyAlignment="1">
      <alignment horizontal="center"/>
      <protection/>
    </xf>
    <xf numFmtId="2" fontId="13" fillId="33" borderId="0" xfId="54" applyNumberFormat="1" applyFont="1" applyFill="1" applyAlignment="1">
      <alignment wrapText="1"/>
      <protection/>
    </xf>
    <xf numFmtId="2" fontId="5" fillId="33" borderId="12" xfId="54" applyNumberFormat="1" applyFont="1" applyFill="1" applyBorder="1" applyAlignment="1">
      <alignment horizontal="center" wrapText="1"/>
      <protection/>
    </xf>
    <xf numFmtId="2" fontId="5" fillId="33" borderId="12" xfId="54" applyNumberFormat="1" applyFont="1" applyFill="1" applyBorder="1" applyAlignment="1">
      <alignment wrapText="1"/>
      <protection/>
    </xf>
    <xf numFmtId="177" fontId="8" fillId="33" borderId="12" xfId="54" applyNumberFormat="1" applyFont="1" applyFill="1" applyBorder="1" applyAlignment="1">
      <alignment horizontal="center" wrapText="1"/>
      <protection/>
    </xf>
    <xf numFmtId="2" fontId="13" fillId="33" borderId="12" xfId="54" applyNumberFormat="1" applyFont="1" applyFill="1" applyBorder="1" applyAlignment="1">
      <alignment wrapText="1"/>
      <protection/>
    </xf>
    <xf numFmtId="2" fontId="5" fillId="33" borderId="26" xfId="54" applyNumberFormat="1" applyFont="1" applyFill="1" applyBorder="1" applyAlignment="1">
      <alignment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177" fontId="4" fillId="33" borderId="0" xfId="54" applyNumberFormat="1" applyFont="1" applyFill="1" applyBorder="1">
      <alignment/>
      <protection/>
    </xf>
    <xf numFmtId="180" fontId="6" fillId="33" borderId="0" xfId="54" applyNumberFormat="1" applyFont="1" applyFill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177" fontId="6" fillId="33" borderId="12" xfId="54" applyNumberFormat="1" applyFont="1" applyFill="1" applyBorder="1" applyAlignment="1">
      <alignment horizontal="center"/>
      <protection/>
    </xf>
    <xf numFmtId="0" fontId="5" fillId="33" borderId="0" xfId="54" applyFont="1" applyFill="1" applyAlignment="1">
      <alignment/>
      <protection/>
    </xf>
    <xf numFmtId="3" fontId="9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3" fontId="9" fillId="33" borderId="11" xfId="54" applyNumberFormat="1" applyFont="1" applyFill="1" applyBorder="1" applyAlignment="1">
      <alignment horizontal="center" wrapText="1"/>
      <protection/>
    </xf>
    <xf numFmtId="176" fontId="9" fillId="33" borderId="11" xfId="54" applyNumberFormat="1" applyFont="1" applyFill="1" applyBorder="1" applyAlignment="1">
      <alignment horizontal="center" wrapText="1"/>
      <protection/>
    </xf>
    <xf numFmtId="177" fontId="9" fillId="33" borderId="11" xfId="0" applyNumberFormat="1" applyFont="1" applyFill="1" applyBorder="1" applyAlignment="1">
      <alignment horizontal="center"/>
    </xf>
    <xf numFmtId="1" fontId="9" fillId="33" borderId="11" xfId="54" applyNumberFormat="1" applyFont="1" applyFill="1" applyBorder="1" applyAlignment="1">
      <alignment horizontal="center" vertical="center" wrapText="1"/>
      <protection/>
    </xf>
    <xf numFmtId="3" fontId="9" fillId="33" borderId="12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2" xfId="54" applyNumberFormat="1" applyFont="1" applyFill="1" applyBorder="1" applyAlignment="1">
      <alignment horizontal="center" vertical="center" wrapText="1"/>
      <protection/>
    </xf>
    <xf numFmtId="177" fontId="9" fillId="33" borderId="12" xfId="0" applyNumberFormat="1" applyFont="1" applyFill="1" applyBorder="1" applyAlignment="1">
      <alignment horizontal="center" vertical="center"/>
    </xf>
    <xf numFmtId="3" fontId="9" fillId="33" borderId="12" xfId="53" applyNumberFormat="1" applyFont="1" applyFill="1" applyBorder="1" applyAlignment="1">
      <alignment horizontal="center" vertical="center"/>
      <protection/>
    </xf>
    <xf numFmtId="0" fontId="9" fillId="33" borderId="12" xfId="53" applyFont="1" applyFill="1" applyBorder="1" applyAlignment="1">
      <alignment horizontal="center" vertical="center"/>
      <protection/>
    </xf>
    <xf numFmtId="1" fontId="9" fillId="33" borderId="12" xfId="53" applyNumberFormat="1" applyFont="1" applyFill="1" applyBorder="1" applyAlignment="1">
      <alignment horizontal="center" vertical="center"/>
      <protection/>
    </xf>
    <xf numFmtId="3" fontId="9" fillId="38" borderId="18" xfId="53" applyNumberFormat="1" applyFont="1" applyFill="1" applyBorder="1" applyAlignment="1">
      <alignment horizontal="center"/>
      <protection/>
    </xf>
    <xf numFmtId="0" fontId="9" fillId="38" borderId="18" xfId="53" applyFont="1" applyFill="1" applyBorder="1" applyAlignment="1">
      <alignment horizontal="center"/>
      <protection/>
    </xf>
    <xf numFmtId="1" fontId="9" fillId="38" borderId="18" xfId="53" applyNumberFormat="1" applyFont="1" applyFill="1" applyBorder="1" applyAlignment="1">
      <alignment horizontal="center"/>
      <protection/>
    </xf>
    <xf numFmtId="1" fontId="9" fillId="38" borderId="18" xfId="55" applyNumberFormat="1" applyFont="1" applyFill="1" applyBorder="1" applyAlignment="1">
      <alignment horizontal="center" vertical="top" wrapText="1"/>
      <protection/>
    </xf>
    <xf numFmtId="3" fontId="9" fillId="33" borderId="12" xfId="53" applyNumberFormat="1" applyFont="1" applyFill="1" applyBorder="1" applyAlignment="1">
      <alignment horizontal="center" vertical="center" wrapText="1"/>
      <protection/>
    </xf>
    <xf numFmtId="0" fontId="9" fillId="33" borderId="12" xfId="53" applyFont="1" applyFill="1" applyBorder="1" applyAlignment="1">
      <alignment horizontal="center" vertical="center" wrapText="1"/>
      <protection/>
    </xf>
    <xf numFmtId="1" fontId="9" fillId="33" borderId="12" xfId="53" applyNumberFormat="1" applyFont="1" applyFill="1" applyBorder="1" applyAlignment="1">
      <alignment horizontal="center" vertical="center" wrapText="1"/>
      <protection/>
    </xf>
    <xf numFmtId="3" fontId="9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1" fontId="9" fillId="33" borderId="12" xfId="54" applyNumberFormat="1" applyFont="1" applyFill="1" applyBorder="1" applyAlignment="1">
      <alignment horizontal="center" vertical="top" wrapText="1"/>
      <protection/>
    </xf>
    <xf numFmtId="3" fontId="9" fillId="33" borderId="12" xfId="54" applyNumberFormat="1" applyFont="1" applyFill="1" applyBorder="1" applyAlignment="1">
      <alignment horizontal="center" vertical="center" wrapText="1"/>
      <protection/>
    </xf>
    <xf numFmtId="2" fontId="4" fillId="33" borderId="12" xfId="54" applyNumberFormat="1" applyFont="1" applyFill="1" applyBorder="1" applyAlignment="1">
      <alignment wrapText="1"/>
      <protection/>
    </xf>
    <xf numFmtId="3" fontId="9" fillId="33" borderId="12" xfId="54" applyNumberFormat="1" applyFont="1" applyFill="1" applyBorder="1" applyAlignment="1">
      <alignment horizontal="center" vertical="top" wrapText="1"/>
      <protection/>
    </xf>
    <xf numFmtId="3" fontId="8" fillId="33" borderId="12" xfId="54" applyNumberFormat="1" applyFont="1" applyFill="1" applyBorder="1" applyAlignment="1">
      <alignment horizontal="center" vertical="top" wrapText="1"/>
      <protection/>
    </xf>
    <xf numFmtId="182" fontId="9" fillId="33" borderId="11" xfId="54" applyNumberFormat="1" applyFont="1" applyFill="1" applyBorder="1" applyAlignment="1">
      <alignment horizontal="center" wrapText="1"/>
      <protection/>
    </xf>
    <xf numFmtId="176" fontId="9" fillId="33" borderId="12" xfId="54" applyNumberFormat="1" applyFont="1" applyFill="1" applyBorder="1" applyAlignment="1">
      <alignment horizontal="center" wrapText="1"/>
      <protection/>
    </xf>
    <xf numFmtId="2" fontId="6" fillId="33" borderId="12" xfId="54" applyNumberFormat="1" applyFont="1" applyFill="1" applyBorder="1" applyAlignment="1">
      <alignment/>
      <protection/>
    </xf>
    <xf numFmtId="1" fontId="4" fillId="33" borderId="20" xfId="54" applyNumberFormat="1" applyFont="1" applyFill="1" applyBorder="1" applyAlignment="1">
      <alignment horizontal="center" wrapText="1"/>
      <protection/>
    </xf>
    <xf numFmtId="2" fontId="9" fillId="33" borderId="20" xfId="0" applyNumberFormat="1" applyFont="1" applyFill="1" applyBorder="1" applyAlignment="1">
      <alignment wrapText="1"/>
    </xf>
    <xf numFmtId="3" fontId="9" fillId="33" borderId="20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1" fontId="9" fillId="33" borderId="20" xfId="0" applyNumberFormat="1" applyFont="1" applyFill="1" applyBorder="1" applyAlignment="1">
      <alignment horizontal="center" vertical="center" wrapText="1"/>
    </xf>
    <xf numFmtId="3" fontId="9" fillId="33" borderId="15" xfId="54" applyNumberFormat="1" applyFont="1" applyFill="1" applyBorder="1" applyAlignment="1">
      <alignment horizontal="center" wrapText="1"/>
      <protection/>
    </xf>
    <xf numFmtId="176" fontId="9" fillId="33" borderId="15" xfId="54" applyNumberFormat="1" applyFont="1" applyFill="1" applyBorder="1" applyAlignment="1">
      <alignment horizontal="center" wrapText="1"/>
      <protection/>
    </xf>
    <xf numFmtId="177" fontId="9" fillId="33" borderId="15" xfId="0" applyNumberFormat="1" applyFont="1" applyFill="1" applyBorder="1" applyAlignment="1">
      <alignment horizontal="center"/>
    </xf>
    <xf numFmtId="3" fontId="9" fillId="33" borderId="20" xfId="54" applyNumberFormat="1" applyFont="1" applyFill="1" applyBorder="1" applyAlignment="1">
      <alignment horizontal="center" vertical="center" wrapText="1"/>
      <protection/>
    </xf>
    <xf numFmtId="1" fontId="9" fillId="33" borderId="20" xfId="54" applyNumberFormat="1" applyFont="1" applyFill="1" applyBorder="1" applyAlignment="1">
      <alignment horizontal="center" vertical="center" wrapText="1"/>
      <protection/>
    </xf>
    <xf numFmtId="180" fontId="9" fillId="33" borderId="20" xfId="54" applyNumberFormat="1" applyFont="1" applyFill="1" applyBorder="1" applyAlignment="1">
      <alignment horizontal="center"/>
      <protection/>
    </xf>
    <xf numFmtId="1" fontId="5" fillId="33" borderId="12" xfId="54" applyNumberFormat="1" applyFont="1" applyFill="1" applyBorder="1" applyAlignment="1">
      <alignment horizontal="center" wrapText="1"/>
      <protection/>
    </xf>
    <xf numFmtId="177" fontId="8" fillId="33" borderId="12" xfId="0" applyNumberFormat="1" applyFont="1" applyFill="1" applyBorder="1" applyAlignment="1">
      <alignment horizontal="center" wrapText="1"/>
    </xf>
    <xf numFmtId="2" fontId="8" fillId="33" borderId="12" xfId="54" applyNumberFormat="1" applyFont="1" applyFill="1" applyBorder="1" applyAlignment="1">
      <alignment horizontal="center" wrapText="1"/>
      <protection/>
    </xf>
    <xf numFmtId="0" fontId="9" fillId="33" borderId="0" xfId="54" applyFont="1" applyFill="1" applyAlignment="1">
      <alignment vertical="center"/>
      <protection/>
    </xf>
    <xf numFmtId="0" fontId="8" fillId="33" borderId="0" xfId="54" applyFont="1" applyFill="1" applyAlignment="1">
      <alignment horizontal="center" vertical="center"/>
      <protection/>
    </xf>
    <xf numFmtId="0" fontId="9" fillId="33" borderId="0" xfId="54" applyFont="1" applyFill="1" applyBorder="1" applyAlignment="1">
      <alignment vertical="center"/>
      <protection/>
    </xf>
    <xf numFmtId="0" fontId="9" fillId="33" borderId="0" xfId="54" applyFont="1" applyFill="1" applyBorder="1" applyAlignment="1">
      <alignment vertical="center" wrapText="1"/>
      <protection/>
    </xf>
    <xf numFmtId="0" fontId="9" fillId="33" borderId="12" xfId="54" applyFont="1" applyFill="1" applyBorder="1" applyAlignment="1">
      <alignment vertical="center" wrapText="1"/>
      <protection/>
    </xf>
    <xf numFmtId="180" fontId="9" fillId="33" borderId="12" xfId="54" applyNumberFormat="1" applyFont="1" applyFill="1" applyBorder="1" applyAlignment="1">
      <alignment horizontal="center" vertical="center"/>
      <protection/>
    </xf>
    <xf numFmtId="177" fontId="9" fillId="33" borderId="12" xfId="54" applyNumberFormat="1" applyFont="1" applyFill="1" applyBorder="1" applyAlignment="1">
      <alignment horizontal="center" vertical="center"/>
      <protection/>
    </xf>
    <xf numFmtId="180" fontId="9" fillId="33" borderId="0" xfId="54" applyNumberFormat="1" applyFont="1" applyFill="1" applyBorder="1" applyAlignment="1">
      <alignment horizontal="center" vertical="center"/>
      <protection/>
    </xf>
    <xf numFmtId="180" fontId="9" fillId="33" borderId="0" xfId="54" applyNumberFormat="1" applyFont="1" applyFill="1" applyBorder="1" applyAlignment="1">
      <alignment vertical="center"/>
      <protection/>
    </xf>
    <xf numFmtId="177" fontId="9" fillId="33" borderId="0" xfId="54" applyNumberFormat="1" applyFont="1" applyFill="1" applyBorder="1" applyAlignment="1">
      <alignment vertical="center"/>
      <protection/>
    </xf>
    <xf numFmtId="0" fontId="9" fillId="33" borderId="0" xfId="54" applyFont="1" applyFill="1" applyBorder="1" applyAlignment="1">
      <alignment horizontal="center" vertical="center"/>
      <protection/>
    </xf>
    <xf numFmtId="180" fontId="9" fillId="33" borderId="0" xfId="54" applyNumberFormat="1" applyFont="1" applyFill="1" applyBorder="1" applyAlignment="1">
      <alignment vertical="center" wrapText="1"/>
      <protection/>
    </xf>
    <xf numFmtId="0" fontId="9" fillId="33" borderId="0" xfId="54" applyFont="1" applyFill="1" applyAlignment="1">
      <alignment vertical="center" wrapText="1"/>
      <protection/>
    </xf>
    <xf numFmtId="2" fontId="9" fillId="33" borderId="13" xfId="54" applyNumberFormat="1" applyFont="1" applyFill="1" applyBorder="1" applyAlignment="1">
      <alignment vertical="center" wrapText="1"/>
      <protection/>
    </xf>
    <xf numFmtId="180" fontId="9" fillId="33" borderId="0" xfId="54" applyNumberFormat="1" applyFont="1" applyFill="1" applyAlignment="1">
      <alignment vertical="center"/>
      <protection/>
    </xf>
    <xf numFmtId="0" fontId="9" fillId="33" borderId="0" xfId="54" applyFont="1" applyFill="1" applyBorder="1" applyAlignment="1">
      <alignment horizontal="left" vertical="center"/>
      <protection/>
    </xf>
    <xf numFmtId="0" fontId="8" fillId="33" borderId="0" xfId="54" applyFont="1" applyFill="1" applyBorder="1" applyAlignment="1">
      <alignment vertical="center" wrapText="1"/>
      <protection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8" fillId="33" borderId="0" xfId="54" applyFont="1" applyFill="1" applyBorder="1" applyAlignment="1">
      <alignment vertical="center"/>
      <protection/>
    </xf>
    <xf numFmtId="177" fontId="4" fillId="33" borderId="17" xfId="54" applyNumberFormat="1" applyFont="1" applyFill="1" applyBorder="1" applyAlignment="1">
      <alignment vertical="center" wrapText="1"/>
      <protection/>
    </xf>
    <xf numFmtId="1" fontId="9" fillId="33" borderId="12" xfId="54" applyNumberFormat="1" applyFont="1" applyFill="1" applyBorder="1" applyAlignment="1">
      <alignment horizontal="center"/>
      <protection/>
    </xf>
    <xf numFmtId="3" fontId="9" fillId="33" borderId="12" xfId="54" applyNumberFormat="1" applyFont="1" applyFill="1" applyBorder="1" applyAlignment="1">
      <alignment horizontal="center"/>
      <protection/>
    </xf>
    <xf numFmtId="176" fontId="9" fillId="33" borderId="12" xfId="54" applyNumberFormat="1" applyFont="1" applyFill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176" fontId="9" fillId="33" borderId="20" xfId="54" applyNumberFormat="1" applyFont="1" applyFill="1" applyBorder="1" applyAlignment="1">
      <alignment horizontal="center"/>
      <protection/>
    </xf>
    <xf numFmtId="3" fontId="4" fillId="33" borderId="0" xfId="54" applyNumberFormat="1" applyFont="1" applyFill="1" applyBorder="1" applyAlignment="1">
      <alignment vertical="top" wrapText="1"/>
      <protection/>
    </xf>
    <xf numFmtId="4" fontId="9" fillId="33" borderId="12" xfId="54" applyNumberFormat="1" applyFont="1" applyFill="1" applyBorder="1" applyAlignment="1">
      <alignment horizontal="center" vertical="center"/>
      <protection/>
    </xf>
    <xf numFmtId="0" fontId="9" fillId="33" borderId="17" xfId="54" applyFont="1" applyFill="1" applyBorder="1" applyAlignment="1">
      <alignment vertical="center" wrapText="1"/>
      <protection/>
    </xf>
    <xf numFmtId="0" fontId="9" fillId="33" borderId="24" xfId="54" applyFont="1" applyFill="1" applyBorder="1" applyAlignment="1">
      <alignment vertical="center" wrapText="1"/>
      <protection/>
    </xf>
    <xf numFmtId="0" fontId="9" fillId="33" borderId="20" xfId="54" applyFont="1" applyFill="1" applyBorder="1" applyAlignment="1">
      <alignment vertical="center" wrapText="1"/>
      <protection/>
    </xf>
    <xf numFmtId="0" fontId="9" fillId="33" borderId="15" xfId="54" applyFont="1" applyFill="1" applyBorder="1" applyAlignment="1">
      <alignment vertical="center" wrapText="1"/>
      <protection/>
    </xf>
    <xf numFmtId="4" fontId="14" fillId="33" borderId="12" xfId="0" applyNumberFormat="1" applyFont="1" applyFill="1" applyBorder="1" applyAlignment="1">
      <alignment horizontal="center" vertical="distributed"/>
    </xf>
    <xf numFmtId="180" fontId="14" fillId="33" borderId="12" xfId="0" applyNumberFormat="1" applyFont="1" applyFill="1" applyBorder="1" applyAlignment="1">
      <alignment horizontal="center" vertical="distributed"/>
    </xf>
    <xf numFmtId="0" fontId="14" fillId="33" borderId="12" xfId="0" applyFont="1" applyFill="1" applyBorder="1" applyAlignment="1">
      <alignment horizontal="center" vertical="distributed"/>
    </xf>
    <xf numFmtId="180" fontId="8" fillId="33" borderId="12" xfId="54" applyNumberFormat="1" applyFont="1" applyFill="1" applyBorder="1" applyAlignment="1">
      <alignment horizontal="center" vertical="center"/>
      <protection/>
    </xf>
    <xf numFmtId="2" fontId="6" fillId="33" borderId="0" xfId="54" applyNumberFormat="1" applyFont="1" applyFill="1" applyBorder="1" applyAlignment="1">
      <alignment/>
      <protection/>
    </xf>
    <xf numFmtId="1" fontId="5" fillId="33" borderId="20" xfId="54" applyNumberFormat="1" applyFont="1" applyFill="1" applyBorder="1" applyAlignment="1">
      <alignment horizontal="center" wrapText="1"/>
      <protection/>
    </xf>
    <xf numFmtId="2" fontId="5" fillId="33" borderId="20" xfId="54" applyNumberFormat="1" applyFont="1" applyFill="1" applyBorder="1" applyAlignment="1">
      <alignment wrapText="1"/>
      <protection/>
    </xf>
    <xf numFmtId="3" fontId="8" fillId="33" borderId="20" xfId="54" applyNumberFormat="1" applyFont="1" applyFill="1" applyBorder="1" applyAlignment="1">
      <alignment horizontal="center" wrapText="1"/>
      <protection/>
    </xf>
    <xf numFmtId="4" fontId="8" fillId="33" borderId="20" xfId="54" applyNumberFormat="1" applyFont="1" applyFill="1" applyBorder="1" applyAlignment="1">
      <alignment horizontal="center" wrapText="1"/>
      <protection/>
    </xf>
    <xf numFmtId="177" fontId="8" fillId="33" borderId="20" xfId="0" applyNumberFormat="1" applyFont="1" applyFill="1" applyBorder="1" applyAlignment="1">
      <alignment horizontal="center" wrapText="1"/>
    </xf>
    <xf numFmtId="2" fontId="8" fillId="33" borderId="20" xfId="54" applyNumberFormat="1" applyFont="1" applyFill="1" applyBorder="1" applyAlignment="1">
      <alignment horizontal="center" wrapText="1"/>
      <protection/>
    </xf>
    <xf numFmtId="180" fontId="8" fillId="33" borderId="20" xfId="54" applyNumberFormat="1" applyFont="1" applyFill="1" applyBorder="1" applyAlignment="1">
      <alignment horizontal="center" wrapText="1"/>
      <protection/>
    </xf>
    <xf numFmtId="180" fontId="8" fillId="33" borderId="21" xfId="54" applyNumberFormat="1" applyFont="1" applyFill="1" applyBorder="1" applyAlignment="1">
      <alignment horizontal="center" wrapText="1"/>
      <protection/>
    </xf>
    <xf numFmtId="180" fontId="13" fillId="33" borderId="20" xfId="54" applyNumberFormat="1" applyFont="1" applyFill="1" applyBorder="1" applyAlignment="1">
      <alignment horizontal="center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0" fontId="6" fillId="33" borderId="0" xfId="54" applyFont="1" applyFill="1" applyBorder="1" applyAlignment="1">
      <alignment horizontal="center"/>
      <protection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13" fillId="33" borderId="0" xfId="54" applyNumberFormat="1" applyFont="1" applyFill="1" applyBorder="1" applyAlignment="1">
      <alignment wrapText="1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177" fontId="12" fillId="33" borderId="12" xfId="54" applyNumberFormat="1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180" fontId="9" fillId="33" borderId="17" xfId="0" applyNumberFormat="1" applyFont="1" applyFill="1" applyBorder="1" applyAlignment="1">
      <alignment horizontal="center" vertical="center" wrapText="1"/>
    </xf>
    <xf numFmtId="180" fontId="9" fillId="33" borderId="27" xfId="0" applyNumberFormat="1" applyFont="1" applyFill="1" applyBorder="1" applyAlignment="1">
      <alignment horizontal="center" vertical="center" wrapText="1"/>
    </xf>
    <xf numFmtId="180" fontId="9" fillId="33" borderId="24" xfId="0" applyNumberFormat="1" applyFont="1" applyFill="1" applyBorder="1" applyAlignment="1">
      <alignment horizontal="center" vertical="center" wrapText="1"/>
    </xf>
    <xf numFmtId="180" fontId="9" fillId="33" borderId="20" xfId="0" applyNumberFormat="1" applyFont="1" applyFill="1" applyBorder="1" applyAlignment="1">
      <alignment horizontal="center" vertical="center" wrapText="1"/>
    </xf>
    <xf numFmtId="180" fontId="9" fillId="33" borderId="15" xfId="0" applyNumberFormat="1" applyFont="1" applyFill="1" applyBorder="1" applyAlignment="1">
      <alignment horizontal="center" vertical="center" wrapText="1"/>
    </xf>
    <xf numFmtId="180" fontId="9" fillId="33" borderId="11" xfId="0" applyNumberFormat="1" applyFont="1" applyFill="1" applyBorder="1" applyAlignment="1">
      <alignment horizontal="center" vertical="center" wrapText="1"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177" fontId="4" fillId="33" borderId="27" xfId="54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/>
    </xf>
    <xf numFmtId="0" fontId="5" fillId="33" borderId="0" xfId="54" applyFont="1" applyFill="1" applyAlignment="1">
      <alignment horizontal="center" vertical="center"/>
      <protection/>
    </xf>
    <xf numFmtId="2" fontId="4" fillId="33" borderId="20" xfId="54" applyNumberFormat="1" applyFont="1" applyFill="1" applyBorder="1" applyAlignment="1">
      <alignment horizontal="center" vertical="center" wrapText="1"/>
      <protection/>
    </xf>
    <xf numFmtId="2" fontId="4" fillId="33" borderId="15" xfId="54" applyNumberFormat="1" applyFont="1" applyFill="1" applyBorder="1" applyAlignment="1">
      <alignment horizontal="center" vertical="center" wrapText="1"/>
      <protection/>
    </xf>
    <xf numFmtId="2" fontId="4" fillId="33" borderId="11" xfId="54" applyNumberFormat="1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177" fontId="5" fillId="33" borderId="17" xfId="54" applyNumberFormat="1" applyFont="1" applyFill="1" applyBorder="1" applyAlignment="1">
      <alignment horizontal="center" vertical="center" wrapText="1"/>
      <protection/>
    </xf>
    <xf numFmtId="177" fontId="5" fillId="33" borderId="27" xfId="54" applyNumberFormat="1" applyFont="1" applyFill="1" applyBorder="1" applyAlignment="1">
      <alignment horizontal="center" vertical="center" wrapText="1"/>
      <protection/>
    </xf>
    <xf numFmtId="177" fontId="5" fillId="33" borderId="12" xfId="54" applyNumberFormat="1" applyFont="1" applyFill="1" applyBorder="1" applyAlignment="1">
      <alignment horizontal="center" vertical="center" wrapText="1"/>
      <protection/>
    </xf>
    <xf numFmtId="177" fontId="11" fillId="33" borderId="12" xfId="54" applyNumberFormat="1" applyFont="1" applyFill="1" applyBorder="1" applyAlignment="1">
      <alignment horizontal="center" vertical="center" wrapText="1"/>
      <protection/>
    </xf>
    <xf numFmtId="0" fontId="8" fillId="33" borderId="12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horizontal="center" vertical="center"/>
      <protection/>
    </xf>
    <xf numFmtId="2" fontId="5" fillId="33" borderId="20" xfId="54" applyNumberFormat="1" applyFont="1" applyFill="1" applyBorder="1" applyAlignment="1">
      <alignment horizontal="center" vertical="center" wrapText="1"/>
      <protection/>
    </xf>
    <xf numFmtId="2" fontId="5" fillId="33" borderId="15" xfId="54" applyNumberFormat="1" applyFont="1" applyFill="1" applyBorder="1" applyAlignment="1">
      <alignment horizontal="center" vertical="center" wrapText="1"/>
      <protection/>
    </xf>
    <xf numFmtId="2" fontId="5" fillId="33" borderId="11" xfId="54" applyNumberFormat="1" applyFont="1" applyFill="1" applyBorder="1" applyAlignment="1">
      <alignment horizontal="center" vertical="center" wrapText="1"/>
      <protection/>
    </xf>
    <xf numFmtId="180" fontId="7" fillId="33" borderId="12" xfId="0" applyNumberFormat="1" applyFont="1" applyFill="1" applyBorder="1" applyAlignment="1">
      <alignment horizontal="center" vertical="center" wrapText="1"/>
    </xf>
    <xf numFmtId="0" fontId="6" fillId="33" borderId="0" xfId="54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6" fillId="34" borderId="20" xfId="54" applyFont="1" applyFill="1" applyBorder="1" applyAlignment="1">
      <alignment horizontal="center" vertical="center" wrapText="1"/>
      <protection/>
    </xf>
    <xf numFmtId="0" fontId="6" fillId="34" borderId="15" xfId="54" applyFont="1" applyFill="1" applyBorder="1" applyAlignment="1">
      <alignment horizontal="center" vertical="center" wrapText="1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0" fontId="6" fillId="33" borderId="20" xfId="54" applyFont="1" applyFill="1" applyBorder="1" applyAlignment="1">
      <alignment horizontal="center" vertical="center" wrapText="1"/>
      <protection/>
    </xf>
    <xf numFmtId="0" fontId="6" fillId="33" borderId="15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6" fillId="35" borderId="20" xfId="54" applyFont="1" applyFill="1" applyBorder="1" applyAlignment="1">
      <alignment horizontal="center" vertical="center" wrapText="1"/>
      <protection/>
    </xf>
    <xf numFmtId="0" fontId="6" fillId="35" borderId="15" xfId="54" applyFont="1" applyFill="1" applyBorder="1" applyAlignment="1">
      <alignment horizontal="center" vertical="center" wrapText="1"/>
      <protection/>
    </xf>
    <xf numFmtId="0" fontId="6" fillId="35" borderId="11" xfId="54" applyFont="1" applyFill="1" applyBorder="1" applyAlignment="1">
      <alignment horizontal="center" vertical="center" wrapText="1"/>
      <protection/>
    </xf>
    <xf numFmtId="177" fontId="12" fillId="33" borderId="17" xfId="54" applyNumberFormat="1" applyFont="1" applyFill="1" applyBorder="1" applyAlignment="1">
      <alignment horizontal="center" vertical="center" wrapText="1"/>
      <protection/>
    </xf>
    <xf numFmtId="177" fontId="12" fillId="33" borderId="27" xfId="54" applyNumberFormat="1" applyFont="1" applyFill="1" applyBorder="1" applyAlignment="1">
      <alignment horizontal="center" vertical="center" wrapText="1"/>
      <protection/>
    </xf>
    <xf numFmtId="177" fontId="12" fillId="33" borderId="24" xfId="54" applyNumberFormat="1" applyFont="1" applyFill="1" applyBorder="1" applyAlignment="1">
      <alignment horizontal="center" vertical="center" wrapText="1"/>
      <protection/>
    </xf>
    <xf numFmtId="0" fontId="9" fillId="33" borderId="0" xfId="54" applyFont="1" applyFill="1" applyBorder="1" applyAlignment="1">
      <alignment horizontal="right" vertical="center"/>
      <protection/>
    </xf>
    <xf numFmtId="177" fontId="9" fillId="33" borderId="0" xfId="54" applyNumberFormat="1" applyFont="1" applyFill="1" applyBorder="1" applyAlignment="1">
      <alignment horizontal="center" vertical="center" wrapText="1"/>
      <protection/>
    </xf>
    <xf numFmtId="177" fontId="4" fillId="33" borderId="24" xfId="54" applyNumberFormat="1" applyFont="1" applyFill="1" applyBorder="1" applyAlignment="1">
      <alignment horizontal="center" vertical="center" wrapText="1"/>
      <protection/>
    </xf>
    <xf numFmtId="0" fontId="9" fillId="33" borderId="0" xfId="54" applyFont="1" applyFill="1" applyBorder="1" applyAlignment="1">
      <alignment horizontal="center" vertical="center" wrapText="1"/>
      <protection/>
    </xf>
    <xf numFmtId="0" fontId="9" fillId="33" borderId="0" xfId="54" applyFont="1" applyFill="1" applyBorder="1" applyAlignment="1">
      <alignment horizontal="center" vertical="center"/>
      <protection/>
    </xf>
    <xf numFmtId="0" fontId="9" fillId="33" borderId="20" xfId="54" applyFont="1" applyFill="1" applyBorder="1" applyAlignment="1">
      <alignment horizontal="center" vertical="center" wrapText="1"/>
      <protection/>
    </xf>
    <xf numFmtId="0" fontId="9" fillId="33" borderId="15" xfId="54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33" borderId="17" xfId="54" applyFont="1" applyFill="1" applyBorder="1" applyAlignment="1">
      <alignment horizontal="center" vertical="center" wrapText="1"/>
      <protection/>
    </xf>
    <xf numFmtId="0" fontId="9" fillId="33" borderId="24" xfId="54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right"/>
      <protection/>
    </xf>
    <xf numFmtId="0" fontId="4" fillId="33" borderId="20" xfId="54" applyFont="1" applyFill="1" applyBorder="1" applyAlignment="1">
      <alignment horizontal="center" vertical="center"/>
      <protection/>
    </xf>
    <xf numFmtId="0" fontId="4" fillId="33" borderId="15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center" vertical="center" wrapText="1"/>
      <protection/>
    </xf>
    <xf numFmtId="0" fontId="4" fillId="33" borderId="15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177" fontId="4" fillId="33" borderId="20" xfId="54" applyNumberFormat="1" applyFont="1" applyFill="1" applyBorder="1" applyAlignment="1">
      <alignment horizontal="center" vertical="center" wrapText="1"/>
      <protection/>
    </xf>
    <xf numFmtId="177" fontId="4" fillId="33" borderId="15" xfId="54" applyNumberFormat="1" applyFont="1" applyFill="1" applyBorder="1" applyAlignment="1">
      <alignment horizontal="center" vertical="center" wrapText="1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177" fontId="4" fillId="33" borderId="22" xfId="54" applyNumberFormat="1" applyFont="1" applyFill="1" applyBorder="1" applyAlignment="1">
      <alignment horizontal="center" vertical="center" wrapText="1"/>
      <protection/>
    </xf>
    <xf numFmtId="177" fontId="4" fillId="33" borderId="25" xfId="54" applyNumberFormat="1" applyFont="1" applyFill="1" applyBorder="1" applyAlignment="1">
      <alignment horizontal="center" vertical="center" wrapText="1"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0" fontId="9" fillId="33" borderId="22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Обычный_Расчет медикаментов для бюджета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4;&#1077;&#1093;&#1086;&#1074;&#1094;&#1086;&#1074;&#1072;-2018\&#1052;&#1091;&#1085;&#1079;&#1072;&#1076;&#1072;&#1085;&#1080;&#1077;\&#1044;&#1086;&#1096;&#1082;&#1086;&#1083;&#1100;&#1085;&#1086;&#1077;%20&#1086;&#1073;&#1088;&#1072;&#1079;&#1086;&#1074;&#1072;&#1085;&#1080;&#1077;\&#1057;&#1074;&#1086;&#1076;&#1099;%20&#1044;&#1044;&#1059;-&#1085;&#1086;&#1074;&#1086;&#1077;%20(50,4)%20&#1089;%20&#1076;&#1074;&#1086;&#1088;&#1085;&#1080;&#1082;&#1072;&#1084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4;-&#1060;&#1054;&#1058;-&#1089;%2001.01.2018%20&#1087;&#1086;%2030.04.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4;&#1077;&#1093;&#1086;&#1074;&#1094;&#1086;&#1074;&#1072;-2018\&#1052;&#1091;&#1085;&#1079;&#1072;&#1076;&#1072;&#1085;&#1080;&#1077;\&#1044;&#1086;&#1096;&#1082;&#1086;&#1083;&#1100;&#1085;&#1086;&#1077;%20&#1086;&#1073;&#1088;&#1072;&#1079;&#1086;&#1074;&#1072;&#1085;&#1080;&#1077;\&#1060;&#1080;&#1085;&#1086;&#1073;&#1077;&#1089;&#1087;&#1077;&#1095;&#1077;&#1085;&#1080;&#1077;\&#1060;&#1080;&#1085;&#1086;&#1073;&#1077;&#1089;&#1087;&#1077;&#1095;&#1077;&#1085;&#1080;&#1077;-01.01.2018-40%20&#1087;&#1088;&#1086;&#1094;&#1077;&#1085;&#1090;&#1086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4;&#1077;&#1093;&#1086;&#1074;&#1094;&#1086;&#1074;&#1072;-2018\&#1052;&#1091;&#1085;&#1079;&#1072;&#1076;&#1072;&#1085;&#1080;&#1077;\&#1055;&#1088;&#1080;&#1089;&#1084;&#1086;&#1090;&#1088;%20&#1080;%20&#1091;&#1093;&#1086;&#1076;\&#1055;&#1088;&#1080;&#1089;&#1084;&#1086;&#1090;&#1088;%20&#1080;%20&#1091;&#1093;&#1086;&#1076;-2018%20-%20&#1089;%2001.05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9"/>
      <sheetName val="2020"/>
    </sheetNames>
    <sheetDataSet>
      <sheetData sheetId="0">
        <row r="5">
          <cell r="N5">
            <v>4179.6</v>
          </cell>
        </row>
        <row r="6">
          <cell r="N6">
            <v>5462.1</v>
          </cell>
        </row>
        <row r="7">
          <cell r="N7">
            <v>6634.6</v>
          </cell>
        </row>
        <row r="8">
          <cell r="N8">
            <v>14021.6</v>
          </cell>
        </row>
        <row r="9">
          <cell r="N9">
            <v>14458.9</v>
          </cell>
        </row>
        <row r="10">
          <cell r="N10">
            <v>6558.4</v>
          </cell>
        </row>
        <row r="11">
          <cell r="N11">
            <v>15370.1</v>
          </cell>
        </row>
        <row r="12">
          <cell r="N12">
            <v>15087.5</v>
          </cell>
        </row>
        <row r="13">
          <cell r="N13">
            <v>13333.9</v>
          </cell>
        </row>
        <row r="14">
          <cell r="N14">
            <v>13184</v>
          </cell>
        </row>
        <row r="15">
          <cell r="N15">
            <v>5393.2</v>
          </cell>
        </row>
        <row r="16">
          <cell r="N16">
            <v>1337</v>
          </cell>
        </row>
        <row r="17">
          <cell r="N17">
            <v>1693.9</v>
          </cell>
        </row>
        <row r="18">
          <cell r="N18">
            <v>2898.7</v>
          </cell>
        </row>
        <row r="19">
          <cell r="N19">
            <v>2120.5</v>
          </cell>
        </row>
        <row r="20">
          <cell r="N20">
            <v>2059.6</v>
          </cell>
        </row>
        <row r="21">
          <cell r="N21">
            <v>2250.2</v>
          </cell>
        </row>
        <row r="22">
          <cell r="N22">
            <v>1231.7</v>
          </cell>
        </row>
        <row r="23">
          <cell r="N23">
            <v>1211.5</v>
          </cell>
        </row>
        <row r="24">
          <cell r="N24">
            <v>1196.5</v>
          </cell>
        </row>
        <row r="25">
          <cell r="N25">
            <v>1335</v>
          </cell>
        </row>
        <row r="26">
          <cell r="N26">
            <v>3963</v>
          </cell>
        </row>
        <row r="27">
          <cell r="N27">
            <v>5069.7</v>
          </cell>
        </row>
        <row r="28">
          <cell r="N28">
            <v>6595.6</v>
          </cell>
        </row>
        <row r="29">
          <cell r="N29">
            <v>4540.6</v>
          </cell>
        </row>
        <row r="30">
          <cell r="N30">
            <v>5304.2</v>
          </cell>
        </row>
        <row r="31">
          <cell r="N31">
            <v>1247.3</v>
          </cell>
        </row>
        <row r="32">
          <cell r="N32">
            <v>1307.4</v>
          </cell>
        </row>
        <row r="33">
          <cell r="N33">
            <v>2029.6</v>
          </cell>
        </row>
        <row r="34">
          <cell r="N34">
            <v>1209</v>
          </cell>
        </row>
        <row r="35">
          <cell r="N35">
            <v>1969.4</v>
          </cell>
        </row>
        <row r="36">
          <cell r="N36">
            <v>1397.1</v>
          </cell>
        </row>
        <row r="37">
          <cell r="N37">
            <v>2261.1</v>
          </cell>
        </row>
        <row r="38">
          <cell r="N38">
            <v>1219.1</v>
          </cell>
        </row>
        <row r="39">
          <cell r="N39">
            <v>2179.5</v>
          </cell>
        </row>
        <row r="40">
          <cell r="N40">
            <v>2996</v>
          </cell>
        </row>
        <row r="41">
          <cell r="N41">
            <v>1214.8</v>
          </cell>
        </row>
        <row r="42">
          <cell r="N42">
            <v>2023</v>
          </cell>
        </row>
        <row r="43">
          <cell r="N43">
            <v>1320.8</v>
          </cell>
        </row>
        <row r="44">
          <cell r="N44">
            <v>1185.4</v>
          </cell>
        </row>
        <row r="45">
          <cell r="N45">
            <v>1353.8</v>
          </cell>
        </row>
        <row r="46">
          <cell r="N46">
            <v>1127.8</v>
          </cell>
        </row>
        <row r="47">
          <cell r="N47">
            <v>1320.7</v>
          </cell>
        </row>
        <row r="48">
          <cell r="N48">
            <v>1167.5</v>
          </cell>
        </row>
        <row r="49">
          <cell r="N49">
            <v>1296.6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С"/>
      <sheetName val="МЗ-2018"/>
      <sheetName val="МЗ-корректировка"/>
      <sheetName val="Полное финобеспечение-факт"/>
      <sheetName val="Для корректировки"/>
      <sheetName val="Корректировка"/>
    </sheetNames>
    <sheetDataSet>
      <sheetData sheetId="5">
        <row r="6">
          <cell r="C6">
            <v>1349.8</v>
          </cell>
        </row>
        <row r="7">
          <cell r="C7">
            <v>1765.3</v>
          </cell>
        </row>
        <row r="8">
          <cell r="C8">
            <v>2142.8</v>
          </cell>
        </row>
        <row r="9">
          <cell r="C9">
            <v>4528.799999999999</v>
          </cell>
        </row>
        <row r="10">
          <cell r="C10">
            <v>4676.9</v>
          </cell>
        </row>
        <row r="11">
          <cell r="C11">
            <v>2119.6</v>
          </cell>
        </row>
        <row r="12">
          <cell r="C12">
            <v>4963.1</v>
          </cell>
        </row>
        <row r="13">
          <cell r="C13">
            <v>4868.700000000001</v>
          </cell>
        </row>
        <row r="14">
          <cell r="C14">
            <v>4310.799999999999</v>
          </cell>
        </row>
        <row r="15">
          <cell r="C15">
            <v>4268.1</v>
          </cell>
        </row>
        <row r="16">
          <cell r="C16">
            <v>1746.9</v>
          </cell>
        </row>
        <row r="17">
          <cell r="C17">
            <v>385</v>
          </cell>
        </row>
        <row r="18">
          <cell r="C18">
            <v>500.4</v>
          </cell>
        </row>
        <row r="19">
          <cell r="C19">
            <v>944.7</v>
          </cell>
        </row>
        <row r="20">
          <cell r="C20">
            <v>691.6</v>
          </cell>
        </row>
        <row r="21">
          <cell r="C21">
            <v>658.6</v>
          </cell>
        </row>
        <row r="22">
          <cell r="C22">
            <v>707.6</v>
          </cell>
        </row>
        <row r="23">
          <cell r="C23">
            <v>350.4</v>
          </cell>
        </row>
        <row r="24">
          <cell r="C24">
            <v>343.9</v>
          </cell>
        </row>
        <row r="25">
          <cell r="C25">
            <v>352</v>
          </cell>
        </row>
        <row r="26">
          <cell r="C26">
            <v>383.9</v>
          </cell>
        </row>
        <row r="27">
          <cell r="C27">
            <v>1289</v>
          </cell>
        </row>
        <row r="28">
          <cell r="C28">
            <v>1648.5</v>
          </cell>
        </row>
        <row r="29">
          <cell r="C29">
            <v>2140.8</v>
          </cell>
        </row>
        <row r="30">
          <cell r="C30">
            <v>1477</v>
          </cell>
        </row>
        <row r="31">
          <cell r="C31">
            <v>1722.3000000000002</v>
          </cell>
        </row>
        <row r="32">
          <cell r="C32">
            <v>355.5</v>
          </cell>
        </row>
        <row r="33">
          <cell r="C33">
            <v>375.8</v>
          </cell>
        </row>
        <row r="34">
          <cell r="C34">
            <v>661.2</v>
          </cell>
        </row>
        <row r="35">
          <cell r="C35">
            <v>343.5</v>
          </cell>
        </row>
        <row r="36">
          <cell r="C36">
            <v>614.8</v>
          </cell>
        </row>
        <row r="37">
          <cell r="C37">
            <v>405.3</v>
          </cell>
        </row>
        <row r="38">
          <cell r="C38">
            <v>738.3</v>
          </cell>
        </row>
        <row r="39">
          <cell r="C39">
            <v>346.4</v>
          </cell>
        </row>
        <row r="40">
          <cell r="C40">
            <v>685</v>
          </cell>
        </row>
        <row r="41">
          <cell r="C41">
            <v>975.5</v>
          </cell>
        </row>
        <row r="42">
          <cell r="C42">
            <v>344.7</v>
          </cell>
        </row>
        <row r="43">
          <cell r="C43">
            <v>632.8</v>
          </cell>
        </row>
        <row r="44">
          <cell r="C44">
            <v>406.1</v>
          </cell>
        </row>
        <row r="45">
          <cell r="C45">
            <v>334.6</v>
          </cell>
        </row>
        <row r="46">
          <cell r="C46">
            <v>390.5</v>
          </cell>
        </row>
        <row r="47">
          <cell r="C47">
            <v>0</v>
          </cell>
        </row>
        <row r="48">
          <cell r="C48">
            <v>406</v>
          </cell>
        </row>
        <row r="49">
          <cell r="C49">
            <v>329</v>
          </cell>
        </row>
        <row r="50">
          <cell r="C50">
            <v>371.3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С"/>
      <sheetName val="МЗ-2018"/>
      <sheetName val="МЗ-корректировка"/>
      <sheetName val="Полное финобеспечение-факт"/>
      <sheetName val="Для корректировки"/>
      <sheetName val="Корректировка"/>
    </sheetNames>
    <sheetDataSet>
      <sheetData sheetId="5">
        <row r="6">
          <cell r="C6">
            <v>4049.3</v>
          </cell>
        </row>
        <row r="7">
          <cell r="C7">
            <v>5295.9</v>
          </cell>
        </row>
        <row r="8">
          <cell r="C8">
            <v>6428.200000000001</v>
          </cell>
        </row>
        <row r="9">
          <cell r="C9">
            <v>13586.6</v>
          </cell>
        </row>
        <row r="10">
          <cell r="C10">
            <v>14030.6</v>
          </cell>
        </row>
        <row r="11">
          <cell r="C11">
            <v>6358.8</v>
          </cell>
        </row>
        <row r="12">
          <cell r="C12">
            <v>14889.5</v>
          </cell>
        </row>
        <row r="13">
          <cell r="C13">
            <v>14605.9</v>
          </cell>
        </row>
        <row r="14">
          <cell r="C14">
            <v>12932.599999999999</v>
          </cell>
        </row>
        <row r="15">
          <cell r="C15">
            <v>12804.300000000001</v>
          </cell>
        </row>
        <row r="16">
          <cell r="C16">
            <v>5240.6</v>
          </cell>
        </row>
        <row r="17">
          <cell r="C17">
            <v>1154.9</v>
          </cell>
        </row>
        <row r="18">
          <cell r="C18">
            <v>1501.3</v>
          </cell>
        </row>
        <row r="19">
          <cell r="C19">
            <v>2834.1</v>
          </cell>
        </row>
        <row r="20">
          <cell r="C20">
            <v>2074.9</v>
          </cell>
        </row>
        <row r="21">
          <cell r="C21">
            <v>1975.7</v>
          </cell>
        </row>
        <row r="22">
          <cell r="C22">
            <v>2122.8</v>
          </cell>
        </row>
        <row r="23">
          <cell r="C23">
            <v>1051.3</v>
          </cell>
        </row>
        <row r="24">
          <cell r="C24">
            <v>1031.8</v>
          </cell>
        </row>
        <row r="25">
          <cell r="C25">
            <v>1056.1</v>
          </cell>
        </row>
        <row r="26">
          <cell r="C26">
            <v>1151.8</v>
          </cell>
        </row>
        <row r="27">
          <cell r="C27">
            <v>3867</v>
          </cell>
        </row>
        <row r="28">
          <cell r="C28">
            <v>4945.6</v>
          </cell>
        </row>
        <row r="29">
          <cell r="C29">
            <v>6422.4</v>
          </cell>
        </row>
        <row r="30">
          <cell r="C30">
            <v>4431.2</v>
          </cell>
        </row>
        <row r="31">
          <cell r="C31">
            <v>5167.099999999999</v>
          </cell>
        </row>
        <row r="32">
          <cell r="C32">
            <v>1066.5</v>
          </cell>
        </row>
        <row r="33">
          <cell r="C33">
            <v>1127.4</v>
          </cell>
        </row>
        <row r="34">
          <cell r="C34">
            <v>1983.7</v>
          </cell>
        </row>
        <row r="35">
          <cell r="C35">
            <v>1030.6</v>
          </cell>
        </row>
        <row r="36">
          <cell r="C36">
            <v>1844.4</v>
          </cell>
        </row>
        <row r="37">
          <cell r="C37">
            <v>1215.9</v>
          </cell>
        </row>
        <row r="38">
          <cell r="C38">
            <v>2214.8</v>
          </cell>
        </row>
        <row r="39">
          <cell r="C39">
            <v>1039.2</v>
          </cell>
        </row>
        <row r="40">
          <cell r="C40">
            <v>2054.9</v>
          </cell>
        </row>
        <row r="41">
          <cell r="C41">
            <v>2926.4</v>
          </cell>
        </row>
        <row r="42">
          <cell r="C42">
            <v>1034.2</v>
          </cell>
        </row>
        <row r="43">
          <cell r="C43">
            <v>1898.4</v>
          </cell>
        </row>
        <row r="44">
          <cell r="C44">
            <v>1218.4</v>
          </cell>
        </row>
        <row r="45">
          <cell r="C45">
            <v>1003.9</v>
          </cell>
        </row>
        <row r="46">
          <cell r="C46">
            <v>1171.5</v>
          </cell>
        </row>
        <row r="47">
          <cell r="C47">
            <v>741.2</v>
          </cell>
        </row>
        <row r="48">
          <cell r="C48">
            <v>1218</v>
          </cell>
        </row>
        <row r="49">
          <cell r="C49">
            <v>986.9</v>
          </cell>
        </row>
        <row r="50">
          <cell r="C50">
            <v>1114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С"/>
      <sheetName val="Расчёт базовых нормативов"/>
      <sheetName val="Отраслевой К на непосредств."/>
      <sheetName val="Отраслевой К на общехоз."/>
      <sheetName val="ФО непосредств.затрат"/>
      <sheetName val="ФО общехоз.затрат"/>
      <sheetName val="Полное финобеспечение"/>
      <sheetName val="Расчет  расходов на мыло"/>
    </sheetNames>
    <sheetDataSet>
      <sheetData sheetId="6">
        <row r="7">
          <cell r="C7">
            <v>1738.1</v>
          </cell>
        </row>
        <row r="8">
          <cell r="C8">
            <v>2206.4</v>
          </cell>
        </row>
        <row r="9">
          <cell r="C9">
            <v>2538</v>
          </cell>
        </row>
        <row r="10">
          <cell r="C10">
            <v>4266.099999999999</v>
          </cell>
        </row>
        <row r="11">
          <cell r="C11">
            <v>4155.799999999999</v>
          </cell>
        </row>
        <row r="12">
          <cell r="C12">
            <v>2275.2</v>
          </cell>
        </row>
        <row r="13">
          <cell r="C13">
            <v>3828.5000000000005</v>
          </cell>
        </row>
        <row r="14">
          <cell r="C14">
            <v>3904.4999999999995</v>
          </cell>
        </row>
        <row r="15">
          <cell r="C15">
            <v>4352.5</v>
          </cell>
        </row>
        <row r="16">
          <cell r="C16">
            <v>3896.7</v>
          </cell>
        </row>
        <row r="17">
          <cell r="C17">
            <v>2587</v>
          </cell>
        </row>
        <row r="18">
          <cell r="C18">
            <v>930</v>
          </cell>
        </row>
        <row r="19">
          <cell r="C19">
            <v>653.9</v>
          </cell>
        </row>
        <row r="20">
          <cell r="C20">
            <v>1388.4</v>
          </cell>
        </row>
        <row r="21">
          <cell r="C21">
            <v>1086.3</v>
          </cell>
        </row>
        <row r="22">
          <cell r="C22">
            <v>1065</v>
          </cell>
        </row>
        <row r="23">
          <cell r="C23">
            <v>1195.8</v>
          </cell>
        </row>
        <row r="24">
          <cell r="C24">
            <v>775.6</v>
          </cell>
        </row>
        <row r="25">
          <cell r="C25">
            <v>804.6</v>
          </cell>
        </row>
        <row r="26">
          <cell r="C26">
            <v>806</v>
          </cell>
        </row>
        <row r="27">
          <cell r="C27">
            <v>874.4999999999999</v>
          </cell>
        </row>
        <row r="28">
          <cell r="C28">
            <v>1644.8999999999999</v>
          </cell>
        </row>
        <row r="29">
          <cell r="C29">
            <v>1543.3000000000002</v>
          </cell>
        </row>
        <row r="30">
          <cell r="C30">
            <v>1798.3000000000002</v>
          </cell>
        </row>
        <row r="31">
          <cell r="C31">
            <v>1693.9999999999998</v>
          </cell>
        </row>
        <row r="32">
          <cell r="C32">
            <v>2113.3</v>
          </cell>
        </row>
        <row r="33">
          <cell r="C33">
            <v>813.1</v>
          </cell>
        </row>
        <row r="34">
          <cell r="C34">
            <v>654</v>
          </cell>
        </row>
        <row r="35">
          <cell r="C35">
            <v>835.2</v>
          </cell>
        </row>
        <row r="36">
          <cell r="C36">
            <v>859.7</v>
          </cell>
        </row>
        <row r="37">
          <cell r="C37">
            <v>991.9</v>
          </cell>
        </row>
        <row r="38">
          <cell r="C38">
            <v>327.5</v>
          </cell>
        </row>
        <row r="39">
          <cell r="C39">
            <v>1250.2000000000003</v>
          </cell>
        </row>
        <row r="40">
          <cell r="C40">
            <v>525.6</v>
          </cell>
        </row>
        <row r="41">
          <cell r="C41">
            <v>929</v>
          </cell>
        </row>
        <row r="42">
          <cell r="C42">
            <v>1391.8</v>
          </cell>
        </row>
        <row r="43">
          <cell r="C43">
            <v>774.3</v>
          </cell>
        </row>
        <row r="44">
          <cell r="C44">
            <v>992.5</v>
          </cell>
        </row>
        <row r="45">
          <cell r="C45">
            <v>904.6999999999999</v>
          </cell>
        </row>
        <row r="46">
          <cell r="C46">
            <v>732</v>
          </cell>
        </row>
        <row r="47">
          <cell r="C47">
            <v>731.8000000000001</v>
          </cell>
        </row>
        <row r="48">
          <cell r="C48">
            <v>22.8</v>
          </cell>
        </row>
        <row r="49">
          <cell r="C49">
            <v>614.1999999999999</v>
          </cell>
        </row>
        <row r="50">
          <cell r="C50">
            <v>387.59999999999997</v>
          </cell>
        </row>
        <row r="51">
          <cell r="C51">
            <v>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="70" zoomScaleNormal="71" zoomScaleSheetLayoutView="7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8" sqref="D48"/>
    </sheetView>
  </sheetViews>
  <sheetFormatPr defaultColWidth="9.140625" defaultRowHeight="12.75"/>
  <cols>
    <col min="1" max="1" width="30.8515625" style="8" customWidth="1"/>
    <col min="2" max="2" width="14.8515625" style="8" customWidth="1"/>
    <col min="3" max="3" width="19.8515625" style="9" customWidth="1"/>
    <col min="4" max="4" width="21.7109375" style="9" customWidth="1"/>
    <col min="5" max="5" width="20.57421875" style="7" customWidth="1"/>
    <col min="6" max="6" width="12.28125" style="7" customWidth="1"/>
    <col min="7" max="7" width="20.421875" style="7" customWidth="1"/>
    <col min="8" max="12" width="20.00390625" style="7" customWidth="1"/>
    <col min="13" max="13" width="16.28125" style="7" customWidth="1"/>
    <col min="14" max="14" width="21.57421875" style="7" customWidth="1"/>
    <col min="15" max="15" width="17.421875" style="7" customWidth="1"/>
    <col min="16" max="16" width="18.28125" style="7" customWidth="1"/>
    <col min="17" max="16384" width="9.140625" style="7" customWidth="1"/>
  </cols>
  <sheetData>
    <row r="1" spans="1:16" ht="15.75">
      <c r="A1" s="325"/>
      <c r="B1" s="325"/>
      <c r="C1" s="325"/>
      <c r="D1" s="3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.75" customHeight="1">
      <c r="A2" s="4"/>
      <c r="B2" s="25"/>
      <c r="C2" s="5"/>
      <c r="D2" s="5"/>
      <c r="F2" s="312"/>
      <c r="G2" s="312"/>
      <c r="H2" s="312"/>
      <c r="I2" s="27"/>
      <c r="J2" s="27"/>
      <c r="K2" s="27"/>
      <c r="L2" s="62"/>
      <c r="M2" s="312"/>
      <c r="N2" s="312"/>
      <c r="O2" s="312"/>
      <c r="P2" s="312"/>
    </row>
    <row r="3" spans="1:16" ht="51.75" customHeight="1">
      <c r="A3" s="329" t="s">
        <v>54</v>
      </c>
      <c r="B3" s="326" t="s">
        <v>52</v>
      </c>
      <c r="C3" s="311" t="s">
        <v>56</v>
      </c>
      <c r="D3" s="311"/>
      <c r="E3" s="311"/>
      <c r="F3" s="313" t="s">
        <v>61</v>
      </c>
      <c r="G3" s="313"/>
      <c r="H3" s="313"/>
      <c r="I3" s="316" t="s">
        <v>62</v>
      </c>
      <c r="J3" s="317"/>
      <c r="K3" s="318"/>
      <c r="L3" s="319" t="s">
        <v>65</v>
      </c>
      <c r="M3" s="314" t="s">
        <v>71</v>
      </c>
      <c r="N3" s="314"/>
      <c r="O3" s="314"/>
      <c r="P3" s="315" t="s">
        <v>72</v>
      </c>
    </row>
    <row r="4" spans="1:16" ht="117.75" customHeight="1">
      <c r="A4" s="329"/>
      <c r="B4" s="327"/>
      <c r="C4" s="322" t="s">
        <v>1</v>
      </c>
      <c r="D4" s="323"/>
      <c r="E4" s="3" t="s">
        <v>49</v>
      </c>
      <c r="F4" s="311" t="s">
        <v>1</v>
      </c>
      <c r="G4" s="311"/>
      <c r="H4" s="3" t="s">
        <v>49</v>
      </c>
      <c r="I4" s="311" t="s">
        <v>1</v>
      </c>
      <c r="J4" s="311"/>
      <c r="K4" s="3" t="s">
        <v>49</v>
      </c>
      <c r="L4" s="320"/>
      <c r="M4" s="311" t="s">
        <v>1</v>
      </c>
      <c r="N4" s="311"/>
      <c r="O4" s="3" t="s">
        <v>49</v>
      </c>
      <c r="P4" s="315"/>
    </row>
    <row r="5" spans="1:16" ht="125.25" customHeight="1">
      <c r="A5" s="51" t="s">
        <v>57</v>
      </c>
      <c r="B5" s="328"/>
      <c r="C5" s="1" t="s">
        <v>58</v>
      </c>
      <c r="D5" s="1" t="s">
        <v>59</v>
      </c>
      <c r="E5" s="1" t="s">
        <v>60</v>
      </c>
      <c r="F5" s="3" t="s">
        <v>48</v>
      </c>
      <c r="G5" s="3" t="s">
        <v>47</v>
      </c>
      <c r="H5" s="3" t="s">
        <v>50</v>
      </c>
      <c r="I5" s="3" t="s">
        <v>48</v>
      </c>
      <c r="J5" s="3" t="s">
        <v>47</v>
      </c>
      <c r="K5" s="3" t="s">
        <v>50</v>
      </c>
      <c r="L5" s="321"/>
      <c r="M5" s="3" t="s">
        <v>48</v>
      </c>
      <c r="N5" s="3" t="s">
        <v>47</v>
      </c>
      <c r="O5" s="3" t="s">
        <v>50</v>
      </c>
      <c r="P5" s="315"/>
    </row>
    <row r="6" spans="1:16" s="56" customFormat="1" ht="23.25" customHeight="1">
      <c r="A6" s="122" t="s">
        <v>2</v>
      </c>
      <c r="B6" s="34">
        <v>12</v>
      </c>
      <c r="C6" s="63"/>
      <c r="D6" s="63">
        <v>103</v>
      </c>
      <c r="E6" s="64"/>
      <c r="F6" s="57"/>
      <c r="G6" s="123">
        <v>65125</v>
      </c>
      <c r="H6" s="57"/>
      <c r="I6" s="55"/>
      <c r="J6" s="55">
        <v>1</v>
      </c>
      <c r="K6" s="55"/>
      <c r="L6" s="80">
        <v>1</v>
      </c>
      <c r="M6" s="58">
        <f>ROUND(C6*F6*I6*L6*8/12/1000,1)</f>
        <v>0</v>
      </c>
      <c r="N6" s="58">
        <f>ROUND(D6*G6*J6*L6*8/12/1000,1)</f>
        <v>4471.9</v>
      </c>
      <c r="O6" s="58">
        <f>ROUND(E6*H6*K6*L6*8/12/1000,1)</f>
        <v>0</v>
      </c>
      <c r="P6" s="58">
        <f>SUM(M6:O6)</f>
        <v>4471.9</v>
      </c>
    </row>
    <row r="7" spans="1:16" s="56" customFormat="1" ht="15.75">
      <c r="A7" s="122" t="s">
        <v>3</v>
      </c>
      <c r="B7" s="34">
        <v>12</v>
      </c>
      <c r="C7" s="65">
        <v>25</v>
      </c>
      <c r="D7" s="65">
        <v>104</v>
      </c>
      <c r="E7" s="66"/>
      <c r="F7" s="123">
        <v>82085</v>
      </c>
      <c r="G7" s="123">
        <v>65125</v>
      </c>
      <c r="H7" s="57"/>
      <c r="I7" s="55">
        <v>1</v>
      </c>
      <c r="J7" s="55">
        <v>1</v>
      </c>
      <c r="K7" s="55"/>
      <c r="L7" s="80">
        <v>1</v>
      </c>
      <c r="M7" s="58">
        <f aca="true" t="shared" si="0" ref="M7:M50">ROUND(C7*F7*I7*L7*8/12/1000,1)</f>
        <v>1368.1</v>
      </c>
      <c r="N7" s="58">
        <f aca="true" t="shared" si="1" ref="N7:N50">ROUND(D7*G7*J7*L7*8/12/1000,1)</f>
        <v>4515.3</v>
      </c>
      <c r="O7" s="58">
        <f aca="true" t="shared" si="2" ref="O7:O50">ROUND(E7*H7*K7*L7*8/12/1000,1)</f>
        <v>0</v>
      </c>
      <c r="P7" s="58">
        <f aca="true" t="shared" si="3" ref="P7:P50">SUM(M7:O7)</f>
        <v>5883.4</v>
      </c>
    </row>
    <row r="8" spans="1:16" s="56" customFormat="1" ht="15.75">
      <c r="A8" s="122" t="s">
        <v>4</v>
      </c>
      <c r="B8" s="34">
        <v>12</v>
      </c>
      <c r="C8" s="65">
        <v>20</v>
      </c>
      <c r="D8" s="65">
        <v>122</v>
      </c>
      <c r="E8" s="64"/>
      <c r="F8" s="123">
        <v>82085</v>
      </c>
      <c r="G8" s="123">
        <v>65125</v>
      </c>
      <c r="H8" s="57"/>
      <c r="I8" s="55">
        <v>1</v>
      </c>
      <c r="J8" s="55">
        <v>1.02</v>
      </c>
      <c r="K8" s="55"/>
      <c r="L8" s="80">
        <v>1</v>
      </c>
      <c r="M8" s="58">
        <f t="shared" si="0"/>
        <v>1094.5</v>
      </c>
      <c r="N8" s="58">
        <f t="shared" si="1"/>
        <v>5402.8</v>
      </c>
      <c r="O8" s="58">
        <f t="shared" si="2"/>
        <v>0</v>
      </c>
      <c r="P8" s="58">
        <f t="shared" si="3"/>
        <v>6497.3</v>
      </c>
    </row>
    <row r="9" spans="1:16" s="56" customFormat="1" ht="15.75">
      <c r="A9" s="122" t="s">
        <v>5</v>
      </c>
      <c r="B9" s="34">
        <v>12</v>
      </c>
      <c r="C9" s="65">
        <v>45</v>
      </c>
      <c r="D9" s="65">
        <v>155</v>
      </c>
      <c r="E9" s="64">
        <v>43</v>
      </c>
      <c r="F9" s="123">
        <v>82085</v>
      </c>
      <c r="G9" s="123">
        <v>65125</v>
      </c>
      <c r="H9" s="123">
        <v>160861</v>
      </c>
      <c r="I9" s="55">
        <v>1</v>
      </c>
      <c r="J9" s="55">
        <v>1</v>
      </c>
      <c r="K9" s="55">
        <v>1.05</v>
      </c>
      <c r="L9" s="80">
        <v>1</v>
      </c>
      <c r="M9" s="58">
        <f t="shared" si="0"/>
        <v>2462.6</v>
      </c>
      <c r="N9" s="58">
        <f t="shared" si="1"/>
        <v>6729.6</v>
      </c>
      <c r="O9" s="58">
        <f t="shared" si="2"/>
        <v>4841.9</v>
      </c>
      <c r="P9" s="58">
        <f t="shared" si="3"/>
        <v>14034.1</v>
      </c>
    </row>
    <row r="10" spans="1:16" s="56" customFormat="1" ht="15.75">
      <c r="A10" s="122" t="s">
        <v>6</v>
      </c>
      <c r="B10" s="34">
        <v>12</v>
      </c>
      <c r="C10" s="65">
        <v>75</v>
      </c>
      <c r="D10" s="65">
        <v>173</v>
      </c>
      <c r="E10" s="64">
        <v>28</v>
      </c>
      <c r="F10" s="123">
        <v>82085</v>
      </c>
      <c r="G10" s="123">
        <v>65125</v>
      </c>
      <c r="H10" s="123">
        <v>160861</v>
      </c>
      <c r="I10" s="55">
        <v>1</v>
      </c>
      <c r="J10" s="55">
        <v>1.01</v>
      </c>
      <c r="K10" s="55">
        <v>1.07</v>
      </c>
      <c r="L10" s="80">
        <v>1</v>
      </c>
      <c r="M10" s="58">
        <f t="shared" si="0"/>
        <v>4104.3</v>
      </c>
      <c r="N10" s="58">
        <f t="shared" si="1"/>
        <v>7586.2</v>
      </c>
      <c r="O10" s="58">
        <f t="shared" si="2"/>
        <v>3212.9</v>
      </c>
      <c r="P10" s="58">
        <f t="shared" si="3"/>
        <v>14903.4</v>
      </c>
    </row>
    <row r="11" spans="1:16" s="56" customFormat="1" ht="15.75">
      <c r="A11" s="122" t="s">
        <v>7</v>
      </c>
      <c r="B11" s="34">
        <v>12</v>
      </c>
      <c r="C11" s="65"/>
      <c r="D11" s="65">
        <v>160</v>
      </c>
      <c r="E11" s="66"/>
      <c r="F11" s="123"/>
      <c r="G11" s="123">
        <v>65125</v>
      </c>
      <c r="H11" s="123"/>
      <c r="I11" s="55"/>
      <c r="J11" s="55">
        <v>1</v>
      </c>
      <c r="K11" s="55"/>
      <c r="L11" s="80">
        <v>1</v>
      </c>
      <c r="M11" s="58">
        <f t="shared" si="0"/>
        <v>0</v>
      </c>
      <c r="N11" s="58">
        <f t="shared" si="1"/>
        <v>6946.7</v>
      </c>
      <c r="O11" s="58">
        <f t="shared" si="2"/>
        <v>0</v>
      </c>
      <c r="P11" s="58">
        <f t="shared" si="3"/>
        <v>6946.7</v>
      </c>
    </row>
    <row r="12" spans="1:16" s="56" customFormat="1" ht="15.75">
      <c r="A12" s="122" t="s">
        <v>8</v>
      </c>
      <c r="B12" s="34">
        <v>12</v>
      </c>
      <c r="C12" s="65">
        <v>25</v>
      </c>
      <c r="D12" s="65">
        <v>190</v>
      </c>
      <c r="E12" s="64">
        <v>45</v>
      </c>
      <c r="F12" s="123">
        <v>82085</v>
      </c>
      <c r="G12" s="123">
        <v>65125</v>
      </c>
      <c r="H12" s="123">
        <v>160861</v>
      </c>
      <c r="I12" s="55">
        <v>1</v>
      </c>
      <c r="J12" s="55">
        <v>1.05</v>
      </c>
      <c r="K12" s="55">
        <v>1</v>
      </c>
      <c r="L12" s="80">
        <v>1</v>
      </c>
      <c r="M12" s="58">
        <f t="shared" si="0"/>
        <v>1368.1</v>
      </c>
      <c r="N12" s="58">
        <f t="shared" si="1"/>
        <v>8661.6</v>
      </c>
      <c r="O12" s="58">
        <f t="shared" si="2"/>
        <v>4825.8</v>
      </c>
      <c r="P12" s="58">
        <f t="shared" si="3"/>
        <v>14855.5</v>
      </c>
    </row>
    <row r="13" spans="1:16" s="56" customFormat="1" ht="15.75">
      <c r="A13" s="122" t="s">
        <v>9</v>
      </c>
      <c r="B13" s="34">
        <v>12</v>
      </c>
      <c r="C13" s="65">
        <v>44</v>
      </c>
      <c r="D13" s="65">
        <v>181</v>
      </c>
      <c r="E13" s="64">
        <v>45</v>
      </c>
      <c r="F13" s="123">
        <v>82085</v>
      </c>
      <c r="G13" s="123">
        <v>65125</v>
      </c>
      <c r="H13" s="123">
        <v>160861</v>
      </c>
      <c r="I13" s="55">
        <v>1</v>
      </c>
      <c r="J13" s="55">
        <v>1</v>
      </c>
      <c r="K13" s="55">
        <v>1</v>
      </c>
      <c r="L13" s="80">
        <v>1</v>
      </c>
      <c r="M13" s="58">
        <f t="shared" si="0"/>
        <v>2407.8</v>
      </c>
      <c r="N13" s="58">
        <f t="shared" si="1"/>
        <v>7858.4</v>
      </c>
      <c r="O13" s="58">
        <f t="shared" si="2"/>
        <v>4825.8</v>
      </c>
      <c r="P13" s="58">
        <f t="shared" si="3"/>
        <v>15092</v>
      </c>
    </row>
    <row r="14" spans="1:16" s="56" customFormat="1" ht="15.75">
      <c r="A14" s="122" t="s">
        <v>10</v>
      </c>
      <c r="B14" s="34">
        <v>12</v>
      </c>
      <c r="C14" s="65">
        <v>41</v>
      </c>
      <c r="D14" s="65">
        <v>145</v>
      </c>
      <c r="E14" s="64">
        <v>37</v>
      </c>
      <c r="F14" s="123">
        <v>82085</v>
      </c>
      <c r="G14" s="123">
        <v>65125</v>
      </c>
      <c r="H14" s="123">
        <v>160861</v>
      </c>
      <c r="I14" s="55">
        <v>1</v>
      </c>
      <c r="J14" s="55">
        <v>1.03</v>
      </c>
      <c r="K14" s="55">
        <v>1</v>
      </c>
      <c r="L14" s="80">
        <v>1</v>
      </c>
      <c r="M14" s="58">
        <f t="shared" si="0"/>
        <v>2243.7</v>
      </c>
      <c r="N14" s="58">
        <f t="shared" si="1"/>
        <v>6484.3</v>
      </c>
      <c r="O14" s="58">
        <f t="shared" si="2"/>
        <v>3967.9</v>
      </c>
      <c r="P14" s="58">
        <f t="shared" si="3"/>
        <v>12695.9</v>
      </c>
    </row>
    <row r="15" spans="1:16" s="56" customFormat="1" ht="15.75">
      <c r="A15" s="122" t="s">
        <v>11</v>
      </c>
      <c r="B15" s="34">
        <v>12</v>
      </c>
      <c r="C15" s="65">
        <v>45</v>
      </c>
      <c r="D15" s="65">
        <v>159</v>
      </c>
      <c r="E15" s="64">
        <v>30</v>
      </c>
      <c r="F15" s="123">
        <v>82085</v>
      </c>
      <c r="G15" s="123">
        <v>65125</v>
      </c>
      <c r="H15" s="123">
        <v>160861</v>
      </c>
      <c r="I15" s="55">
        <v>1</v>
      </c>
      <c r="J15" s="55">
        <v>1</v>
      </c>
      <c r="K15" s="55">
        <v>1</v>
      </c>
      <c r="L15" s="80">
        <v>1</v>
      </c>
      <c r="M15" s="58">
        <f t="shared" si="0"/>
        <v>2462.6</v>
      </c>
      <c r="N15" s="58">
        <f t="shared" si="1"/>
        <v>6903.3</v>
      </c>
      <c r="O15" s="58">
        <f t="shared" si="2"/>
        <v>3217.2</v>
      </c>
      <c r="P15" s="58">
        <f t="shared" si="3"/>
        <v>12583.099999999999</v>
      </c>
    </row>
    <row r="16" spans="1:16" s="56" customFormat="1" ht="15.75">
      <c r="A16" s="122" t="s">
        <v>12</v>
      </c>
      <c r="B16" s="34">
        <v>12</v>
      </c>
      <c r="C16" s="67">
        <v>22</v>
      </c>
      <c r="D16" s="67">
        <v>51</v>
      </c>
      <c r="E16" s="68">
        <v>16</v>
      </c>
      <c r="F16" s="123">
        <v>87069</v>
      </c>
      <c r="G16" s="123">
        <v>69308</v>
      </c>
      <c r="H16" s="123">
        <v>176067</v>
      </c>
      <c r="I16" s="55">
        <v>1</v>
      </c>
      <c r="J16" s="55">
        <v>1</v>
      </c>
      <c r="K16" s="55">
        <v>1</v>
      </c>
      <c r="L16" s="80">
        <v>1</v>
      </c>
      <c r="M16" s="58">
        <f t="shared" si="0"/>
        <v>1277</v>
      </c>
      <c r="N16" s="58">
        <f t="shared" si="1"/>
        <v>2356.5</v>
      </c>
      <c r="O16" s="58">
        <f t="shared" si="2"/>
        <v>1878</v>
      </c>
      <c r="P16" s="58">
        <f t="shared" si="3"/>
        <v>5511.5</v>
      </c>
    </row>
    <row r="17" spans="1:16" s="56" customFormat="1" ht="15.75">
      <c r="A17" s="122" t="s">
        <v>26</v>
      </c>
      <c r="B17" s="54">
        <v>10</v>
      </c>
      <c r="C17" s="65"/>
      <c r="D17" s="65">
        <v>26</v>
      </c>
      <c r="E17" s="66"/>
      <c r="F17" s="57"/>
      <c r="G17" s="123">
        <v>57042</v>
      </c>
      <c r="H17" s="57"/>
      <c r="I17" s="55"/>
      <c r="J17" s="55">
        <v>1</v>
      </c>
      <c r="K17" s="55"/>
      <c r="L17" s="80">
        <v>1</v>
      </c>
      <c r="M17" s="58">
        <f t="shared" si="0"/>
        <v>0</v>
      </c>
      <c r="N17" s="58">
        <f t="shared" si="1"/>
        <v>988.7</v>
      </c>
      <c r="O17" s="58">
        <f t="shared" si="2"/>
        <v>0</v>
      </c>
      <c r="P17" s="58">
        <f t="shared" si="3"/>
        <v>988.7</v>
      </c>
    </row>
    <row r="18" spans="1:16" s="56" customFormat="1" ht="15.75">
      <c r="A18" s="122" t="s">
        <v>25</v>
      </c>
      <c r="B18" s="54">
        <v>10</v>
      </c>
      <c r="C18" s="65"/>
      <c r="D18" s="65">
        <v>25</v>
      </c>
      <c r="E18" s="64"/>
      <c r="F18" s="57"/>
      <c r="G18" s="123">
        <v>57042</v>
      </c>
      <c r="H18" s="57"/>
      <c r="I18" s="55"/>
      <c r="J18" s="55">
        <v>1</v>
      </c>
      <c r="K18" s="55"/>
      <c r="L18" s="80">
        <v>1</v>
      </c>
      <c r="M18" s="58">
        <f t="shared" si="0"/>
        <v>0</v>
      </c>
      <c r="N18" s="58">
        <f t="shared" si="1"/>
        <v>950.7</v>
      </c>
      <c r="O18" s="58">
        <f t="shared" si="2"/>
        <v>0</v>
      </c>
      <c r="P18" s="58">
        <f t="shared" si="3"/>
        <v>950.7</v>
      </c>
    </row>
    <row r="19" spans="1:16" s="56" customFormat="1" ht="15.75">
      <c r="A19" s="122" t="s">
        <v>13</v>
      </c>
      <c r="B19" s="54">
        <v>10</v>
      </c>
      <c r="C19" s="65"/>
      <c r="D19" s="65">
        <v>86</v>
      </c>
      <c r="E19" s="64"/>
      <c r="F19" s="57"/>
      <c r="G19" s="123">
        <v>57042</v>
      </c>
      <c r="H19" s="57"/>
      <c r="I19" s="55"/>
      <c r="J19" s="55">
        <v>1</v>
      </c>
      <c r="K19" s="55"/>
      <c r="L19" s="80">
        <v>1</v>
      </c>
      <c r="M19" s="58">
        <f t="shared" si="0"/>
        <v>0</v>
      </c>
      <c r="N19" s="58">
        <f t="shared" si="1"/>
        <v>3270.4</v>
      </c>
      <c r="O19" s="58">
        <f t="shared" si="2"/>
        <v>0</v>
      </c>
      <c r="P19" s="58">
        <f t="shared" si="3"/>
        <v>3270.4</v>
      </c>
    </row>
    <row r="20" spans="1:16" s="56" customFormat="1" ht="15.75">
      <c r="A20" s="122" t="s">
        <v>14</v>
      </c>
      <c r="B20" s="54">
        <v>10</v>
      </c>
      <c r="C20" s="65"/>
      <c r="D20" s="65">
        <v>45</v>
      </c>
      <c r="E20" s="64"/>
      <c r="F20" s="57"/>
      <c r="G20" s="123">
        <v>57042</v>
      </c>
      <c r="H20" s="57"/>
      <c r="I20" s="55"/>
      <c r="J20" s="55">
        <v>1.11</v>
      </c>
      <c r="K20" s="55"/>
      <c r="L20" s="80">
        <v>1</v>
      </c>
      <c r="M20" s="58">
        <f t="shared" si="0"/>
        <v>0</v>
      </c>
      <c r="N20" s="58">
        <f t="shared" si="1"/>
        <v>1899.5</v>
      </c>
      <c r="O20" s="58">
        <f t="shared" si="2"/>
        <v>0</v>
      </c>
      <c r="P20" s="58">
        <f t="shared" si="3"/>
        <v>1899.5</v>
      </c>
    </row>
    <row r="21" spans="1:16" s="56" customFormat="1" ht="15.75">
      <c r="A21" s="122" t="s">
        <v>15</v>
      </c>
      <c r="B21" s="54">
        <v>10</v>
      </c>
      <c r="C21" s="65"/>
      <c r="D21" s="65">
        <v>50</v>
      </c>
      <c r="E21" s="64"/>
      <c r="F21" s="57"/>
      <c r="G21" s="123">
        <v>57042</v>
      </c>
      <c r="H21" s="57"/>
      <c r="I21" s="55"/>
      <c r="J21" s="55">
        <v>1</v>
      </c>
      <c r="K21" s="55"/>
      <c r="L21" s="80">
        <v>1</v>
      </c>
      <c r="M21" s="58">
        <f t="shared" si="0"/>
        <v>0</v>
      </c>
      <c r="N21" s="58">
        <f t="shared" si="1"/>
        <v>1901.4</v>
      </c>
      <c r="O21" s="58">
        <f t="shared" si="2"/>
        <v>0</v>
      </c>
      <c r="P21" s="58">
        <f t="shared" si="3"/>
        <v>1901.4</v>
      </c>
    </row>
    <row r="22" spans="1:16" s="56" customFormat="1" ht="16.5" customHeight="1">
      <c r="A22" s="122" t="s">
        <v>16</v>
      </c>
      <c r="B22" s="54">
        <v>10</v>
      </c>
      <c r="C22" s="65"/>
      <c r="D22" s="65">
        <v>64</v>
      </c>
      <c r="E22" s="64"/>
      <c r="F22" s="57"/>
      <c r="G22" s="123">
        <v>57042</v>
      </c>
      <c r="H22" s="57"/>
      <c r="I22" s="55"/>
      <c r="J22" s="55">
        <v>1</v>
      </c>
      <c r="K22" s="55"/>
      <c r="L22" s="80">
        <v>1</v>
      </c>
      <c r="M22" s="58">
        <f t="shared" si="0"/>
        <v>0</v>
      </c>
      <c r="N22" s="58">
        <f t="shared" si="1"/>
        <v>2433.8</v>
      </c>
      <c r="O22" s="58">
        <f t="shared" si="2"/>
        <v>0</v>
      </c>
      <c r="P22" s="58">
        <f t="shared" si="3"/>
        <v>2433.8</v>
      </c>
    </row>
    <row r="23" spans="1:16" s="56" customFormat="1" ht="19.5" customHeight="1">
      <c r="A23" s="122" t="s">
        <v>27</v>
      </c>
      <c r="B23" s="54">
        <v>9</v>
      </c>
      <c r="C23" s="65"/>
      <c r="D23" s="65">
        <v>18</v>
      </c>
      <c r="E23" s="69"/>
      <c r="F23" s="57"/>
      <c r="G23" s="123">
        <v>51892</v>
      </c>
      <c r="H23" s="57"/>
      <c r="I23" s="55"/>
      <c r="J23" s="55">
        <v>1.39</v>
      </c>
      <c r="K23" s="55"/>
      <c r="L23" s="80">
        <v>1</v>
      </c>
      <c r="M23" s="58">
        <f t="shared" si="0"/>
        <v>0</v>
      </c>
      <c r="N23" s="58">
        <f t="shared" si="1"/>
        <v>865.6</v>
      </c>
      <c r="O23" s="58">
        <f t="shared" si="2"/>
        <v>0</v>
      </c>
      <c r="P23" s="58">
        <f t="shared" si="3"/>
        <v>865.6</v>
      </c>
    </row>
    <row r="24" spans="1:16" s="56" customFormat="1" ht="19.5" customHeight="1">
      <c r="A24" s="122" t="s">
        <v>28</v>
      </c>
      <c r="B24" s="54">
        <v>9</v>
      </c>
      <c r="C24" s="65"/>
      <c r="D24" s="65">
        <v>8</v>
      </c>
      <c r="E24" s="64"/>
      <c r="F24" s="57"/>
      <c r="G24" s="123">
        <v>51892</v>
      </c>
      <c r="H24" s="57"/>
      <c r="I24" s="55"/>
      <c r="J24" s="55">
        <v>3.12</v>
      </c>
      <c r="K24" s="55"/>
      <c r="L24" s="80">
        <v>1</v>
      </c>
      <c r="M24" s="58">
        <f t="shared" si="0"/>
        <v>0</v>
      </c>
      <c r="N24" s="58">
        <f t="shared" si="1"/>
        <v>863.5</v>
      </c>
      <c r="O24" s="58">
        <f t="shared" si="2"/>
        <v>0</v>
      </c>
      <c r="P24" s="58">
        <f t="shared" si="3"/>
        <v>863.5</v>
      </c>
    </row>
    <row r="25" spans="1:16" s="56" customFormat="1" ht="19.5" customHeight="1">
      <c r="A25" s="122" t="s">
        <v>29</v>
      </c>
      <c r="B25" s="54">
        <v>9</v>
      </c>
      <c r="C25" s="65"/>
      <c r="D25" s="65">
        <v>12</v>
      </c>
      <c r="E25" s="64"/>
      <c r="F25" s="57"/>
      <c r="G25" s="123">
        <v>51892</v>
      </c>
      <c r="H25" s="57"/>
      <c r="I25" s="55"/>
      <c r="J25" s="55">
        <v>2.08</v>
      </c>
      <c r="K25" s="55"/>
      <c r="L25" s="80">
        <v>1</v>
      </c>
      <c r="M25" s="58">
        <f t="shared" si="0"/>
        <v>0</v>
      </c>
      <c r="N25" s="58">
        <f t="shared" si="1"/>
        <v>863.5</v>
      </c>
      <c r="O25" s="58">
        <f t="shared" si="2"/>
        <v>0</v>
      </c>
      <c r="P25" s="58">
        <f t="shared" si="3"/>
        <v>863.5</v>
      </c>
    </row>
    <row r="26" spans="1:16" s="56" customFormat="1" ht="19.5" customHeight="1">
      <c r="A26" s="122" t="s">
        <v>30</v>
      </c>
      <c r="B26" s="54">
        <v>10</v>
      </c>
      <c r="C26" s="65"/>
      <c r="D26" s="65">
        <v>27</v>
      </c>
      <c r="E26" s="64"/>
      <c r="F26" s="57"/>
      <c r="G26" s="123">
        <v>57042</v>
      </c>
      <c r="H26" s="57"/>
      <c r="I26" s="55"/>
      <c r="J26" s="55">
        <v>1</v>
      </c>
      <c r="K26" s="55"/>
      <c r="L26" s="80">
        <v>1</v>
      </c>
      <c r="M26" s="58">
        <f t="shared" si="0"/>
        <v>0</v>
      </c>
      <c r="N26" s="58">
        <f t="shared" si="1"/>
        <v>1026.8</v>
      </c>
      <c r="O26" s="58">
        <f t="shared" si="2"/>
        <v>0</v>
      </c>
      <c r="P26" s="58">
        <f t="shared" si="3"/>
        <v>1026.8</v>
      </c>
    </row>
    <row r="27" spans="1:16" s="56" customFormat="1" ht="15.75">
      <c r="A27" s="122" t="s">
        <v>17</v>
      </c>
      <c r="B27" s="34">
        <v>10</v>
      </c>
      <c r="C27" s="63"/>
      <c r="D27" s="63">
        <v>95</v>
      </c>
      <c r="E27" s="64"/>
      <c r="F27" s="57"/>
      <c r="G27" s="123">
        <v>57042</v>
      </c>
      <c r="H27" s="57"/>
      <c r="I27" s="55"/>
      <c r="J27" s="55">
        <v>1.05</v>
      </c>
      <c r="K27" s="55"/>
      <c r="L27" s="80">
        <v>1</v>
      </c>
      <c r="M27" s="58">
        <f t="shared" si="0"/>
        <v>0</v>
      </c>
      <c r="N27" s="58">
        <f t="shared" si="1"/>
        <v>3793.3</v>
      </c>
      <c r="O27" s="58">
        <f t="shared" si="2"/>
        <v>0</v>
      </c>
      <c r="P27" s="58">
        <f t="shared" si="3"/>
        <v>3793.3</v>
      </c>
    </row>
    <row r="28" spans="1:16" s="56" customFormat="1" ht="15.75">
      <c r="A28" s="122" t="s">
        <v>18</v>
      </c>
      <c r="B28" s="54">
        <v>10</v>
      </c>
      <c r="C28" s="65"/>
      <c r="D28" s="65">
        <v>74</v>
      </c>
      <c r="E28" s="64">
        <v>17</v>
      </c>
      <c r="F28" s="57"/>
      <c r="G28" s="123">
        <v>57042</v>
      </c>
      <c r="H28" s="123">
        <v>159739</v>
      </c>
      <c r="I28" s="55"/>
      <c r="J28" s="55">
        <v>1.01</v>
      </c>
      <c r="K28" s="55">
        <v>1</v>
      </c>
      <c r="L28" s="80">
        <v>1</v>
      </c>
      <c r="M28" s="58">
        <f t="shared" si="0"/>
        <v>0</v>
      </c>
      <c r="N28" s="58">
        <f t="shared" si="1"/>
        <v>2842.2</v>
      </c>
      <c r="O28" s="58">
        <f t="shared" si="2"/>
        <v>1810.4</v>
      </c>
      <c r="P28" s="58">
        <f t="shared" si="3"/>
        <v>4652.6</v>
      </c>
    </row>
    <row r="29" spans="1:16" s="56" customFormat="1" ht="21" customHeight="1">
      <c r="A29" s="122" t="s">
        <v>19</v>
      </c>
      <c r="B29" s="54">
        <v>10</v>
      </c>
      <c r="C29" s="65">
        <v>21</v>
      </c>
      <c r="D29" s="65">
        <v>52</v>
      </c>
      <c r="E29" s="69">
        <v>44</v>
      </c>
      <c r="F29" s="123">
        <v>68744</v>
      </c>
      <c r="G29" s="123">
        <v>57042</v>
      </c>
      <c r="H29" s="123">
        <v>159739</v>
      </c>
      <c r="I29" s="55">
        <v>1</v>
      </c>
      <c r="J29" s="55">
        <v>1</v>
      </c>
      <c r="K29" s="55">
        <v>1</v>
      </c>
      <c r="L29" s="80">
        <v>1</v>
      </c>
      <c r="M29" s="58">
        <f t="shared" si="0"/>
        <v>962.4</v>
      </c>
      <c r="N29" s="58">
        <f t="shared" si="1"/>
        <v>1977.5</v>
      </c>
      <c r="O29" s="58">
        <f t="shared" si="2"/>
        <v>4685.7</v>
      </c>
      <c r="P29" s="58">
        <f t="shared" si="3"/>
        <v>7625.6</v>
      </c>
    </row>
    <row r="30" spans="1:16" s="56" customFormat="1" ht="15.75">
      <c r="A30" s="122" t="s">
        <v>20</v>
      </c>
      <c r="B30" s="54">
        <v>10</v>
      </c>
      <c r="C30" s="65">
        <v>18</v>
      </c>
      <c r="D30" s="65">
        <v>119</v>
      </c>
      <c r="E30" s="66"/>
      <c r="F30" s="123">
        <v>68744</v>
      </c>
      <c r="G30" s="123">
        <v>57042</v>
      </c>
      <c r="H30" s="57"/>
      <c r="I30" s="55">
        <v>1.11</v>
      </c>
      <c r="J30" s="55">
        <v>1</v>
      </c>
      <c r="K30" s="55"/>
      <c r="L30" s="80">
        <v>1</v>
      </c>
      <c r="M30" s="58">
        <f t="shared" si="0"/>
        <v>915.7</v>
      </c>
      <c r="N30" s="58">
        <f t="shared" si="1"/>
        <v>4525.3</v>
      </c>
      <c r="O30" s="58">
        <f t="shared" si="2"/>
        <v>0</v>
      </c>
      <c r="P30" s="58">
        <f t="shared" si="3"/>
        <v>5441</v>
      </c>
    </row>
    <row r="31" spans="1:16" s="56" customFormat="1" ht="15.75">
      <c r="A31" s="122" t="s">
        <v>21</v>
      </c>
      <c r="B31" s="54">
        <v>10</v>
      </c>
      <c r="C31" s="65">
        <v>24</v>
      </c>
      <c r="D31" s="65">
        <v>112</v>
      </c>
      <c r="E31" s="66"/>
      <c r="F31" s="123">
        <v>68744</v>
      </c>
      <c r="G31" s="123">
        <v>57042</v>
      </c>
      <c r="H31" s="57"/>
      <c r="I31" s="55">
        <v>1</v>
      </c>
      <c r="J31" s="55">
        <v>1.12</v>
      </c>
      <c r="K31" s="55"/>
      <c r="L31" s="80">
        <v>1</v>
      </c>
      <c r="M31" s="58">
        <f t="shared" si="0"/>
        <v>1099.9</v>
      </c>
      <c r="N31" s="58">
        <f t="shared" si="1"/>
        <v>4770.2</v>
      </c>
      <c r="O31" s="58">
        <f t="shared" si="2"/>
        <v>0</v>
      </c>
      <c r="P31" s="58">
        <f t="shared" si="3"/>
        <v>5870.1</v>
      </c>
    </row>
    <row r="32" spans="1:16" s="56" customFormat="1" ht="20.25" customHeight="1">
      <c r="A32" s="122" t="s">
        <v>31</v>
      </c>
      <c r="B32" s="54">
        <v>10</v>
      </c>
      <c r="C32" s="65"/>
      <c r="D32" s="65">
        <v>20</v>
      </c>
      <c r="E32" s="66"/>
      <c r="F32" s="57"/>
      <c r="G32" s="123">
        <v>57042</v>
      </c>
      <c r="H32" s="57"/>
      <c r="I32" s="55"/>
      <c r="J32" s="55">
        <v>1.25</v>
      </c>
      <c r="K32" s="55"/>
      <c r="L32" s="80">
        <v>1</v>
      </c>
      <c r="M32" s="58">
        <f t="shared" si="0"/>
        <v>0</v>
      </c>
      <c r="N32" s="58">
        <f t="shared" si="1"/>
        <v>950.7</v>
      </c>
      <c r="O32" s="58">
        <f t="shared" si="2"/>
        <v>0</v>
      </c>
      <c r="P32" s="58">
        <f t="shared" si="3"/>
        <v>950.7</v>
      </c>
    </row>
    <row r="33" spans="1:16" s="56" customFormat="1" ht="15.75">
      <c r="A33" s="122" t="s">
        <v>32</v>
      </c>
      <c r="B33" s="54">
        <v>10</v>
      </c>
      <c r="C33" s="65"/>
      <c r="D33" s="65">
        <v>18</v>
      </c>
      <c r="E33" s="66"/>
      <c r="F33" s="57"/>
      <c r="G33" s="123">
        <v>57042</v>
      </c>
      <c r="H33" s="57"/>
      <c r="I33" s="55"/>
      <c r="J33" s="55">
        <v>1.39</v>
      </c>
      <c r="K33" s="55"/>
      <c r="L33" s="80">
        <v>1</v>
      </c>
      <c r="M33" s="58">
        <f t="shared" si="0"/>
        <v>0</v>
      </c>
      <c r="N33" s="58">
        <f t="shared" si="1"/>
        <v>951.5</v>
      </c>
      <c r="O33" s="58">
        <f t="shared" si="2"/>
        <v>0</v>
      </c>
      <c r="P33" s="58">
        <f t="shared" si="3"/>
        <v>951.5</v>
      </c>
    </row>
    <row r="34" spans="1:16" s="56" customFormat="1" ht="21" customHeight="1">
      <c r="A34" s="122" t="s">
        <v>22</v>
      </c>
      <c r="B34" s="54">
        <v>10</v>
      </c>
      <c r="C34" s="65"/>
      <c r="D34" s="65">
        <v>62</v>
      </c>
      <c r="E34" s="66"/>
      <c r="F34" s="57"/>
      <c r="G34" s="123">
        <v>57042</v>
      </c>
      <c r="H34" s="57"/>
      <c r="I34" s="55"/>
      <c r="J34" s="55">
        <v>1</v>
      </c>
      <c r="K34" s="55"/>
      <c r="L34" s="80">
        <v>1</v>
      </c>
      <c r="M34" s="58">
        <f t="shared" si="0"/>
        <v>0</v>
      </c>
      <c r="N34" s="58">
        <f t="shared" si="1"/>
        <v>2357.7</v>
      </c>
      <c r="O34" s="58">
        <f t="shared" si="2"/>
        <v>0</v>
      </c>
      <c r="P34" s="58">
        <f t="shared" si="3"/>
        <v>2357.7</v>
      </c>
    </row>
    <row r="35" spans="1:16" s="56" customFormat="1" ht="21" customHeight="1">
      <c r="A35" s="122" t="s">
        <v>33</v>
      </c>
      <c r="B35" s="54">
        <v>9</v>
      </c>
      <c r="C35" s="65"/>
      <c r="D35" s="65">
        <v>12</v>
      </c>
      <c r="E35" s="66"/>
      <c r="F35" s="57"/>
      <c r="G35" s="123">
        <v>51892</v>
      </c>
      <c r="H35" s="57"/>
      <c r="I35" s="55"/>
      <c r="J35" s="55">
        <v>2.08</v>
      </c>
      <c r="K35" s="55"/>
      <c r="L35" s="80">
        <v>1</v>
      </c>
      <c r="M35" s="58">
        <f t="shared" si="0"/>
        <v>0</v>
      </c>
      <c r="N35" s="58">
        <f t="shared" si="1"/>
        <v>863.5</v>
      </c>
      <c r="O35" s="58">
        <f t="shared" si="2"/>
        <v>0</v>
      </c>
      <c r="P35" s="58">
        <f t="shared" si="3"/>
        <v>863.5</v>
      </c>
    </row>
    <row r="36" spans="1:16" s="56" customFormat="1" ht="15.75">
      <c r="A36" s="122" t="s">
        <v>34</v>
      </c>
      <c r="B36" s="54">
        <v>10</v>
      </c>
      <c r="C36" s="65"/>
      <c r="D36" s="65">
        <v>31</v>
      </c>
      <c r="E36" s="66"/>
      <c r="F36" s="57"/>
      <c r="G36" s="123">
        <v>57042</v>
      </c>
      <c r="H36" s="57"/>
      <c r="I36" s="55"/>
      <c r="J36" s="55">
        <v>1.61</v>
      </c>
      <c r="K36" s="55"/>
      <c r="L36" s="80">
        <v>1</v>
      </c>
      <c r="M36" s="58">
        <f t="shared" si="0"/>
        <v>0</v>
      </c>
      <c r="N36" s="58">
        <f t="shared" si="1"/>
        <v>1898</v>
      </c>
      <c r="O36" s="58">
        <f t="shared" si="2"/>
        <v>0</v>
      </c>
      <c r="P36" s="58">
        <f t="shared" si="3"/>
        <v>1898</v>
      </c>
    </row>
    <row r="37" spans="1:16" s="56" customFormat="1" ht="15.75">
      <c r="A37" s="122" t="s">
        <v>35</v>
      </c>
      <c r="B37" s="54">
        <v>10</v>
      </c>
      <c r="C37" s="65"/>
      <c r="D37" s="65">
        <v>26</v>
      </c>
      <c r="E37" s="66"/>
      <c r="F37" s="57"/>
      <c r="G37" s="123">
        <v>57042</v>
      </c>
      <c r="H37" s="57"/>
      <c r="I37" s="55"/>
      <c r="J37" s="55">
        <v>1</v>
      </c>
      <c r="K37" s="55"/>
      <c r="L37" s="80">
        <v>1</v>
      </c>
      <c r="M37" s="58">
        <f t="shared" si="0"/>
        <v>0</v>
      </c>
      <c r="N37" s="58">
        <f t="shared" si="1"/>
        <v>988.7</v>
      </c>
      <c r="O37" s="58">
        <f t="shared" si="2"/>
        <v>0</v>
      </c>
      <c r="P37" s="58">
        <f t="shared" si="3"/>
        <v>988.7</v>
      </c>
    </row>
    <row r="38" spans="1:16" s="56" customFormat="1" ht="15.75">
      <c r="A38" s="122" t="s">
        <v>36</v>
      </c>
      <c r="B38" s="54">
        <v>10</v>
      </c>
      <c r="C38" s="65"/>
      <c r="D38" s="65">
        <v>34</v>
      </c>
      <c r="E38" s="70"/>
      <c r="F38" s="57"/>
      <c r="G38" s="123">
        <v>57042</v>
      </c>
      <c r="H38" s="57"/>
      <c r="I38" s="55"/>
      <c r="J38" s="55">
        <v>1.47</v>
      </c>
      <c r="K38" s="55"/>
      <c r="L38" s="80">
        <v>1</v>
      </c>
      <c r="M38" s="58">
        <f t="shared" si="0"/>
        <v>0</v>
      </c>
      <c r="N38" s="58">
        <f t="shared" si="1"/>
        <v>1900.6</v>
      </c>
      <c r="O38" s="58">
        <f t="shared" si="2"/>
        <v>0</v>
      </c>
      <c r="P38" s="58">
        <f t="shared" si="3"/>
        <v>1900.6</v>
      </c>
    </row>
    <row r="39" spans="1:16" s="56" customFormat="1" ht="16.5" customHeight="1">
      <c r="A39" s="122" t="s">
        <v>37</v>
      </c>
      <c r="B39" s="54">
        <v>9</v>
      </c>
      <c r="C39" s="65"/>
      <c r="D39" s="65">
        <v>22</v>
      </c>
      <c r="E39" s="64"/>
      <c r="F39" s="57"/>
      <c r="G39" s="123">
        <v>51892</v>
      </c>
      <c r="H39" s="57"/>
      <c r="I39" s="55"/>
      <c r="J39" s="55">
        <v>1.14</v>
      </c>
      <c r="K39" s="55"/>
      <c r="L39" s="80">
        <v>1</v>
      </c>
      <c r="M39" s="58">
        <f t="shared" si="0"/>
        <v>0</v>
      </c>
      <c r="N39" s="58">
        <f t="shared" si="1"/>
        <v>867.6</v>
      </c>
      <c r="O39" s="58">
        <f t="shared" si="2"/>
        <v>0</v>
      </c>
      <c r="P39" s="58">
        <f t="shared" si="3"/>
        <v>867.6</v>
      </c>
    </row>
    <row r="40" spans="1:16" s="56" customFormat="1" ht="15" customHeight="1">
      <c r="A40" s="122" t="s">
        <v>38</v>
      </c>
      <c r="B40" s="54">
        <v>10</v>
      </c>
      <c r="C40" s="65"/>
      <c r="D40" s="65">
        <v>34</v>
      </c>
      <c r="E40" s="66"/>
      <c r="F40" s="57"/>
      <c r="G40" s="123">
        <v>57042</v>
      </c>
      <c r="H40" s="57"/>
      <c r="I40" s="55"/>
      <c r="J40" s="55">
        <v>1.47</v>
      </c>
      <c r="K40" s="55"/>
      <c r="L40" s="80">
        <v>1</v>
      </c>
      <c r="M40" s="58">
        <f t="shared" si="0"/>
        <v>0</v>
      </c>
      <c r="N40" s="58">
        <f t="shared" si="1"/>
        <v>1900.6</v>
      </c>
      <c r="O40" s="58">
        <f t="shared" si="2"/>
        <v>0</v>
      </c>
      <c r="P40" s="58">
        <f t="shared" si="3"/>
        <v>1900.6</v>
      </c>
    </row>
    <row r="41" spans="1:16" s="56" customFormat="1" ht="18.75" customHeight="1">
      <c r="A41" s="122" t="s">
        <v>39</v>
      </c>
      <c r="B41" s="54">
        <v>10</v>
      </c>
      <c r="C41" s="65"/>
      <c r="D41" s="65">
        <v>63</v>
      </c>
      <c r="E41" s="66"/>
      <c r="F41" s="57"/>
      <c r="G41" s="123">
        <v>57042</v>
      </c>
      <c r="H41" s="57"/>
      <c r="I41" s="55"/>
      <c r="J41" s="55">
        <v>1.19</v>
      </c>
      <c r="K41" s="55"/>
      <c r="L41" s="80">
        <v>1</v>
      </c>
      <c r="M41" s="58">
        <f t="shared" si="0"/>
        <v>0</v>
      </c>
      <c r="N41" s="58">
        <f t="shared" si="1"/>
        <v>2851</v>
      </c>
      <c r="O41" s="58">
        <f t="shared" si="2"/>
        <v>0</v>
      </c>
      <c r="P41" s="58">
        <f t="shared" si="3"/>
        <v>2851</v>
      </c>
    </row>
    <row r="42" spans="1:16" s="56" customFormat="1" ht="15.75">
      <c r="A42" s="122" t="s">
        <v>40</v>
      </c>
      <c r="B42" s="54">
        <v>9</v>
      </c>
      <c r="C42" s="71"/>
      <c r="D42" s="71">
        <v>12</v>
      </c>
      <c r="E42" s="72"/>
      <c r="F42" s="57"/>
      <c r="G42" s="123">
        <v>51892</v>
      </c>
      <c r="H42" s="57"/>
      <c r="I42" s="55"/>
      <c r="J42" s="55">
        <v>2.08</v>
      </c>
      <c r="K42" s="55"/>
      <c r="L42" s="80">
        <v>1</v>
      </c>
      <c r="M42" s="58">
        <f t="shared" si="0"/>
        <v>0</v>
      </c>
      <c r="N42" s="58">
        <f t="shared" si="1"/>
        <v>863.5</v>
      </c>
      <c r="O42" s="58">
        <f t="shared" si="2"/>
        <v>0</v>
      </c>
      <c r="P42" s="58">
        <f t="shared" si="3"/>
        <v>863.5</v>
      </c>
    </row>
    <row r="43" spans="1:16" s="56" customFormat="1" ht="17.25" customHeight="1">
      <c r="A43" s="122" t="s">
        <v>23</v>
      </c>
      <c r="B43" s="59">
        <v>10</v>
      </c>
      <c r="C43" s="73"/>
      <c r="D43" s="73">
        <v>40</v>
      </c>
      <c r="E43" s="73"/>
      <c r="F43" s="57"/>
      <c r="G43" s="123">
        <v>57042</v>
      </c>
      <c r="H43" s="57"/>
      <c r="I43" s="55"/>
      <c r="J43" s="55">
        <v>1.25</v>
      </c>
      <c r="K43" s="55"/>
      <c r="L43" s="80">
        <v>1</v>
      </c>
      <c r="M43" s="58">
        <f t="shared" si="0"/>
        <v>0</v>
      </c>
      <c r="N43" s="58">
        <f t="shared" si="1"/>
        <v>1901.4</v>
      </c>
      <c r="O43" s="58">
        <f t="shared" si="2"/>
        <v>0</v>
      </c>
      <c r="P43" s="58">
        <f t="shared" si="3"/>
        <v>1901.4</v>
      </c>
    </row>
    <row r="44" spans="1:16" s="56" customFormat="1" ht="15.75">
      <c r="A44" s="122" t="s">
        <v>41</v>
      </c>
      <c r="B44" s="54">
        <v>10</v>
      </c>
      <c r="C44" s="63"/>
      <c r="D44" s="63">
        <v>22</v>
      </c>
      <c r="E44" s="74"/>
      <c r="F44" s="57"/>
      <c r="G44" s="123">
        <v>57042</v>
      </c>
      <c r="H44" s="57"/>
      <c r="I44" s="55"/>
      <c r="J44" s="55">
        <v>1.14</v>
      </c>
      <c r="K44" s="55"/>
      <c r="L44" s="80">
        <v>1</v>
      </c>
      <c r="M44" s="58">
        <f t="shared" si="0"/>
        <v>0</v>
      </c>
      <c r="N44" s="58">
        <f t="shared" si="1"/>
        <v>953.7</v>
      </c>
      <c r="O44" s="58">
        <f t="shared" si="2"/>
        <v>0</v>
      </c>
      <c r="P44" s="58">
        <f t="shared" si="3"/>
        <v>953.7</v>
      </c>
    </row>
    <row r="45" spans="1:16" s="56" customFormat="1" ht="15.75">
      <c r="A45" s="122" t="s">
        <v>42</v>
      </c>
      <c r="B45" s="54">
        <v>9</v>
      </c>
      <c r="C45" s="65"/>
      <c r="D45" s="65">
        <v>7</v>
      </c>
      <c r="E45" s="66"/>
      <c r="F45" s="57"/>
      <c r="G45" s="123">
        <v>51892</v>
      </c>
      <c r="H45" s="57"/>
      <c r="I45" s="55"/>
      <c r="J45" s="55">
        <v>3.57</v>
      </c>
      <c r="K45" s="55"/>
      <c r="L45" s="80">
        <v>1</v>
      </c>
      <c r="M45" s="58">
        <f t="shared" si="0"/>
        <v>0</v>
      </c>
      <c r="N45" s="58">
        <f t="shared" si="1"/>
        <v>864.5</v>
      </c>
      <c r="O45" s="58">
        <f t="shared" si="2"/>
        <v>0</v>
      </c>
      <c r="P45" s="58">
        <f t="shared" si="3"/>
        <v>864.5</v>
      </c>
    </row>
    <row r="46" spans="1:16" s="56" customFormat="1" ht="22.5" customHeight="1">
      <c r="A46" s="122" t="s">
        <v>43</v>
      </c>
      <c r="B46" s="54">
        <v>10</v>
      </c>
      <c r="C46" s="65"/>
      <c r="D46" s="65">
        <v>15</v>
      </c>
      <c r="E46" s="70"/>
      <c r="F46" s="57"/>
      <c r="G46" s="123">
        <v>57042</v>
      </c>
      <c r="H46" s="57"/>
      <c r="I46" s="55"/>
      <c r="J46" s="55">
        <v>1.67</v>
      </c>
      <c r="K46" s="55"/>
      <c r="L46" s="80">
        <v>1</v>
      </c>
      <c r="M46" s="58">
        <f t="shared" si="0"/>
        <v>0</v>
      </c>
      <c r="N46" s="58">
        <f t="shared" si="1"/>
        <v>952.6</v>
      </c>
      <c r="O46" s="58">
        <f t="shared" si="2"/>
        <v>0</v>
      </c>
      <c r="P46" s="58">
        <f t="shared" si="3"/>
        <v>952.6</v>
      </c>
    </row>
    <row r="47" spans="1:16" s="91" customFormat="1" ht="15.75">
      <c r="A47" s="122" t="s">
        <v>24</v>
      </c>
      <c r="B47" s="84">
        <v>9</v>
      </c>
      <c r="C47" s="85"/>
      <c r="D47" s="85">
        <v>17</v>
      </c>
      <c r="E47" s="86"/>
      <c r="F47" s="87"/>
      <c r="G47" s="123">
        <v>51892</v>
      </c>
      <c r="H47" s="87"/>
      <c r="I47" s="88"/>
      <c r="J47" s="88">
        <v>1.36</v>
      </c>
      <c r="K47" s="88"/>
      <c r="L47" s="80">
        <v>1</v>
      </c>
      <c r="M47" s="58">
        <f t="shared" si="0"/>
        <v>0</v>
      </c>
      <c r="N47" s="58">
        <f t="shared" si="1"/>
        <v>799.8</v>
      </c>
      <c r="O47" s="58">
        <f t="shared" si="2"/>
        <v>0</v>
      </c>
      <c r="P47" s="90">
        <f t="shared" si="3"/>
        <v>799.8</v>
      </c>
    </row>
    <row r="48" spans="1:16" s="56" customFormat="1" ht="18" customHeight="1">
      <c r="A48" s="122" t="s">
        <v>44</v>
      </c>
      <c r="B48" s="54">
        <v>10</v>
      </c>
      <c r="C48" s="65"/>
      <c r="D48" s="65">
        <v>21</v>
      </c>
      <c r="E48" s="66"/>
      <c r="F48" s="57"/>
      <c r="G48" s="123">
        <v>57042</v>
      </c>
      <c r="H48" s="57"/>
      <c r="I48" s="55"/>
      <c r="J48" s="55">
        <v>1.19</v>
      </c>
      <c r="K48" s="55"/>
      <c r="L48" s="80">
        <v>1</v>
      </c>
      <c r="M48" s="58">
        <f t="shared" si="0"/>
        <v>0</v>
      </c>
      <c r="N48" s="58">
        <f t="shared" si="1"/>
        <v>950.3</v>
      </c>
      <c r="O48" s="58">
        <f t="shared" si="2"/>
        <v>0</v>
      </c>
      <c r="P48" s="58">
        <f t="shared" si="3"/>
        <v>950.3</v>
      </c>
    </row>
    <row r="49" spans="1:16" s="56" customFormat="1" ht="34.5" customHeight="1">
      <c r="A49" s="122" t="s">
        <v>45</v>
      </c>
      <c r="B49" s="54">
        <v>9</v>
      </c>
      <c r="C49" s="65"/>
      <c r="D49" s="65">
        <v>9</v>
      </c>
      <c r="E49" s="66"/>
      <c r="F49" s="57"/>
      <c r="G49" s="123">
        <v>51892</v>
      </c>
      <c r="H49" s="57"/>
      <c r="I49" s="55"/>
      <c r="J49" s="55">
        <v>2.78</v>
      </c>
      <c r="K49" s="55"/>
      <c r="L49" s="80">
        <v>1</v>
      </c>
      <c r="M49" s="58">
        <f t="shared" si="0"/>
        <v>0</v>
      </c>
      <c r="N49" s="58">
        <f t="shared" si="1"/>
        <v>865.6</v>
      </c>
      <c r="O49" s="58">
        <f t="shared" si="2"/>
        <v>0</v>
      </c>
      <c r="P49" s="58">
        <f t="shared" si="3"/>
        <v>865.6</v>
      </c>
    </row>
    <row r="50" spans="1:16" s="56" customFormat="1" ht="31.5">
      <c r="A50" s="122" t="s">
        <v>46</v>
      </c>
      <c r="B50" s="54">
        <v>10</v>
      </c>
      <c r="C50" s="65"/>
      <c r="D50" s="65">
        <v>17</v>
      </c>
      <c r="E50" s="72"/>
      <c r="F50" s="57"/>
      <c r="G50" s="123">
        <v>57042</v>
      </c>
      <c r="H50" s="57"/>
      <c r="I50" s="55"/>
      <c r="J50" s="55">
        <v>1.47</v>
      </c>
      <c r="K50" s="55"/>
      <c r="L50" s="80">
        <v>1</v>
      </c>
      <c r="M50" s="58">
        <f t="shared" si="0"/>
        <v>0</v>
      </c>
      <c r="N50" s="58">
        <f t="shared" si="1"/>
        <v>950.3</v>
      </c>
      <c r="O50" s="58">
        <f t="shared" si="2"/>
        <v>0</v>
      </c>
      <c r="P50" s="58">
        <f t="shared" si="3"/>
        <v>950.3</v>
      </c>
    </row>
    <row r="51" spans="1:16" s="56" customFormat="1" ht="48" thickBot="1">
      <c r="A51" s="52" t="s">
        <v>55</v>
      </c>
      <c r="B51" s="60"/>
      <c r="C51" s="75">
        <f>SUM(C6:C50)</f>
        <v>405</v>
      </c>
      <c r="D51" s="75">
        <f>SUM(D6:D50)</f>
        <v>2838</v>
      </c>
      <c r="E51" s="76">
        <f>SUM(E6:E50)</f>
        <v>305</v>
      </c>
      <c r="F51" s="61"/>
      <c r="G51" s="57"/>
      <c r="H51" s="57"/>
      <c r="I51" s="57"/>
      <c r="J51" s="57"/>
      <c r="K51" s="57"/>
      <c r="L51" s="57"/>
      <c r="M51" s="58">
        <f>SUM(M6:M50)</f>
        <v>21766.700000000004</v>
      </c>
      <c r="N51" s="58">
        <f>SUM(N6:N50)</f>
        <v>125520.60000000002</v>
      </c>
      <c r="O51" s="58">
        <f>SUM(O6:O50)</f>
        <v>33265.6</v>
      </c>
      <c r="P51" s="58">
        <f>SUM(P6:P50)</f>
        <v>180552.90000000002</v>
      </c>
    </row>
    <row r="52" spans="1:16" ht="18" customHeight="1">
      <c r="A52" s="13"/>
      <c r="B52" s="13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P52" s="31"/>
    </row>
    <row r="53" spans="1:13" ht="15.75">
      <c r="A53" s="14"/>
      <c r="B53" s="14"/>
      <c r="C53" s="49"/>
      <c r="D53" s="49"/>
      <c r="E53" s="49"/>
      <c r="F53" s="50"/>
      <c r="G53" s="49"/>
      <c r="H53" s="49"/>
      <c r="I53" s="49"/>
      <c r="J53" s="49"/>
      <c r="K53" s="49"/>
      <c r="L53" s="49"/>
      <c r="M53" s="49"/>
    </row>
    <row r="54" spans="1:16" ht="15.75">
      <c r="A54" s="14"/>
      <c r="B54" s="14"/>
      <c r="C54" s="15"/>
      <c r="D54" s="15"/>
      <c r="P54" s="31"/>
    </row>
    <row r="55" spans="1:4" ht="15.75">
      <c r="A55" s="14"/>
      <c r="B55" s="14"/>
      <c r="C55" s="15"/>
      <c r="D55" s="15"/>
    </row>
    <row r="56" spans="1:4" ht="15.75">
      <c r="A56" s="14"/>
      <c r="B56" s="14"/>
      <c r="C56" s="15"/>
      <c r="D56" s="15"/>
    </row>
    <row r="57" spans="1:4" ht="15.75">
      <c r="A57" s="20"/>
      <c r="B57" s="20"/>
      <c r="C57" s="15"/>
      <c r="D57" s="15"/>
    </row>
    <row r="58" spans="1:4" ht="15.75">
      <c r="A58" s="20"/>
      <c r="B58" s="20"/>
      <c r="C58" s="15"/>
      <c r="D58" s="15"/>
    </row>
    <row r="59" spans="1:4" ht="16.5" customHeight="1">
      <c r="A59" s="14"/>
      <c r="B59" s="14"/>
      <c r="C59" s="15"/>
      <c r="D59" s="15"/>
    </row>
    <row r="60" spans="1:4" ht="15.75">
      <c r="A60" s="14"/>
      <c r="B60" s="14"/>
      <c r="C60" s="15"/>
      <c r="D60" s="15"/>
    </row>
    <row r="61" spans="1:4" ht="15.75">
      <c r="A61" s="14"/>
      <c r="B61" s="14"/>
      <c r="C61" s="15"/>
      <c r="D61" s="15"/>
    </row>
    <row r="62" spans="1:4" ht="15.75">
      <c r="A62" s="14"/>
      <c r="B62" s="14"/>
      <c r="C62" s="15"/>
      <c r="D62" s="15"/>
    </row>
    <row r="63" spans="1:4" ht="15.75">
      <c r="A63" s="14"/>
      <c r="B63" s="14"/>
      <c r="C63" s="15"/>
      <c r="D63" s="15"/>
    </row>
    <row r="64" spans="1:4" ht="15.75">
      <c r="A64" s="14"/>
      <c r="B64" s="14"/>
      <c r="C64" s="15"/>
      <c r="D64" s="15"/>
    </row>
    <row r="65" spans="1:4" ht="15.75">
      <c r="A65" s="21"/>
      <c r="B65" s="21"/>
      <c r="C65" s="22"/>
      <c r="D65" s="22"/>
    </row>
    <row r="66" spans="1:4" s="17" customFormat="1" ht="16.5" customHeight="1">
      <c r="A66" s="324"/>
      <c r="B66" s="324"/>
      <c r="C66" s="324"/>
      <c r="D66" s="324"/>
    </row>
    <row r="67" spans="1:4" ht="15.75">
      <c r="A67" s="20"/>
      <c r="B67" s="20"/>
      <c r="C67" s="15"/>
      <c r="D67" s="15"/>
    </row>
    <row r="68" spans="1:4" ht="15.75">
      <c r="A68" s="20"/>
      <c r="B68" s="20"/>
      <c r="C68" s="15"/>
      <c r="D68" s="15"/>
    </row>
    <row r="69" spans="1:4" ht="15.75">
      <c r="A69" s="20"/>
      <c r="B69" s="20"/>
      <c r="C69" s="15"/>
      <c r="D69" s="15"/>
    </row>
    <row r="70" spans="1:4" ht="15.75">
      <c r="A70" s="20"/>
      <c r="B70" s="20"/>
      <c r="C70" s="15"/>
      <c r="D70" s="15"/>
    </row>
    <row r="71" spans="1:4" ht="18" customHeight="1">
      <c r="A71" s="20"/>
      <c r="B71" s="20"/>
      <c r="C71" s="15"/>
      <c r="D71" s="15"/>
    </row>
    <row r="72" spans="1:4" ht="15.75">
      <c r="A72" s="20"/>
      <c r="B72" s="20"/>
      <c r="C72" s="15"/>
      <c r="D72" s="15"/>
    </row>
    <row r="73" spans="1:4" ht="15.75">
      <c r="A73" s="20"/>
      <c r="B73" s="20"/>
      <c r="C73" s="15"/>
      <c r="D73" s="15"/>
    </row>
    <row r="74" spans="1:4" ht="15.75">
      <c r="A74" s="20"/>
      <c r="B74" s="20"/>
      <c r="C74" s="15"/>
      <c r="D74" s="15"/>
    </row>
    <row r="75" spans="1:4" ht="15.75">
      <c r="A75" s="20"/>
      <c r="B75" s="20"/>
      <c r="C75" s="15"/>
      <c r="D75" s="15"/>
    </row>
    <row r="76" spans="1:4" ht="15.75">
      <c r="A76" s="20"/>
      <c r="B76" s="20"/>
      <c r="C76" s="15"/>
      <c r="D76" s="15"/>
    </row>
    <row r="77" spans="1:4" ht="15.75">
      <c r="A77" s="14"/>
      <c r="B77" s="14"/>
      <c r="C77" s="15"/>
      <c r="D77" s="15"/>
    </row>
    <row r="78" spans="1:4" ht="15.75">
      <c r="A78" s="14"/>
      <c r="B78" s="14"/>
      <c r="C78" s="15"/>
      <c r="D78" s="15"/>
    </row>
    <row r="79" spans="1:4" ht="15.75">
      <c r="A79" s="14"/>
      <c r="B79" s="14"/>
      <c r="C79" s="15"/>
      <c r="D79" s="15"/>
    </row>
    <row r="80" spans="1:4" ht="15.75">
      <c r="A80" s="14"/>
      <c r="B80" s="14"/>
      <c r="C80" s="15"/>
      <c r="D80" s="15"/>
    </row>
    <row r="81" spans="1:4" ht="15.75">
      <c r="A81" s="14"/>
      <c r="B81" s="14"/>
      <c r="C81" s="15"/>
      <c r="D81" s="15"/>
    </row>
    <row r="82" spans="1:4" ht="15.75">
      <c r="A82" s="14"/>
      <c r="B82" s="14"/>
      <c r="C82" s="15"/>
      <c r="D82" s="15"/>
    </row>
    <row r="83" spans="1:4" ht="15.75">
      <c r="A83" s="14"/>
      <c r="B83" s="14"/>
      <c r="C83" s="15"/>
      <c r="D83" s="15"/>
    </row>
    <row r="84" spans="1:4" ht="15.75">
      <c r="A84" s="14"/>
      <c r="B84" s="14"/>
      <c r="C84" s="15"/>
      <c r="D84" s="15"/>
    </row>
    <row r="85" spans="1:4" ht="15.75">
      <c r="A85" s="14"/>
      <c r="B85" s="14"/>
      <c r="C85" s="15"/>
      <c r="D85" s="15"/>
    </row>
    <row r="86" spans="1:4" ht="15.75">
      <c r="A86" s="14"/>
      <c r="B86" s="14"/>
      <c r="C86" s="15"/>
      <c r="D86" s="15"/>
    </row>
    <row r="87" spans="1:4" ht="15.75">
      <c r="A87" s="14"/>
      <c r="B87" s="14"/>
      <c r="C87" s="15"/>
      <c r="D87" s="15"/>
    </row>
    <row r="88" spans="1:4" ht="15.75">
      <c r="A88" s="14"/>
      <c r="B88" s="14"/>
      <c r="C88" s="15"/>
      <c r="D88" s="15"/>
    </row>
    <row r="89" spans="1:4" ht="15.75">
      <c r="A89" s="14"/>
      <c r="B89" s="14"/>
      <c r="C89" s="15"/>
      <c r="D89" s="15"/>
    </row>
    <row r="90" spans="1:4" ht="15.75">
      <c r="A90" s="14"/>
      <c r="B90" s="14"/>
      <c r="C90" s="15"/>
      <c r="D90" s="15"/>
    </row>
    <row r="91" spans="1:4" ht="15.75">
      <c r="A91" s="14"/>
      <c r="B91" s="14"/>
      <c r="C91" s="15"/>
      <c r="D91" s="15"/>
    </row>
    <row r="92" spans="1:4" ht="15.75">
      <c r="A92" s="14"/>
      <c r="B92" s="14"/>
      <c r="C92" s="15"/>
      <c r="D92" s="15"/>
    </row>
    <row r="93" spans="1:4" ht="15.75">
      <c r="A93" s="14"/>
      <c r="B93" s="14"/>
      <c r="C93" s="15"/>
      <c r="D93" s="15"/>
    </row>
    <row r="94" spans="1:4" ht="15.75">
      <c r="A94" s="14"/>
      <c r="B94" s="14"/>
      <c r="C94" s="15"/>
      <c r="D94" s="15"/>
    </row>
    <row r="95" spans="1:4" ht="15.75">
      <c r="A95" s="14"/>
      <c r="B95" s="14"/>
      <c r="C95" s="15"/>
      <c r="D95" s="15"/>
    </row>
    <row r="96" spans="1:4" ht="15.75">
      <c r="A96" s="14"/>
      <c r="B96" s="14"/>
      <c r="C96" s="15"/>
      <c r="D96" s="15"/>
    </row>
    <row r="97" spans="1:4" ht="15.75">
      <c r="A97" s="14"/>
      <c r="B97" s="14"/>
      <c r="C97" s="15"/>
      <c r="D97" s="15"/>
    </row>
    <row r="98" spans="1:4" ht="15.75">
      <c r="A98" s="14"/>
      <c r="B98" s="14"/>
      <c r="C98" s="15"/>
      <c r="D98" s="15"/>
    </row>
    <row r="99" spans="1:4" ht="15.75">
      <c r="A99" s="14"/>
      <c r="B99" s="14"/>
      <c r="C99" s="15"/>
      <c r="D99" s="15"/>
    </row>
    <row r="100" spans="1:4" ht="15.75">
      <c r="A100" s="14"/>
      <c r="B100" s="14"/>
      <c r="C100" s="15"/>
      <c r="D100" s="15"/>
    </row>
    <row r="101" spans="1:4" ht="15.75">
      <c r="A101" s="14"/>
      <c r="B101" s="14"/>
      <c r="C101" s="15"/>
      <c r="D101" s="15"/>
    </row>
    <row r="102" spans="1:4" ht="15.75">
      <c r="A102" s="14"/>
      <c r="B102" s="14"/>
      <c r="C102" s="15"/>
      <c r="D102" s="15"/>
    </row>
    <row r="103" spans="1:4" ht="15.75">
      <c r="A103" s="14"/>
      <c r="B103" s="14"/>
      <c r="C103" s="15"/>
      <c r="D103" s="15"/>
    </row>
    <row r="104" spans="1:4" ht="15.75">
      <c r="A104" s="14"/>
      <c r="B104" s="14"/>
      <c r="C104" s="15"/>
      <c r="D104" s="15"/>
    </row>
    <row r="105" spans="1:4" ht="15.75">
      <c r="A105" s="14"/>
      <c r="B105" s="14"/>
      <c r="C105" s="15"/>
      <c r="D105" s="15"/>
    </row>
    <row r="106" spans="1:4" ht="15.75">
      <c r="A106" s="14"/>
      <c r="B106" s="14"/>
      <c r="C106" s="15"/>
      <c r="D106" s="15"/>
    </row>
    <row r="107" spans="1:4" ht="15.75">
      <c r="A107" s="14"/>
      <c r="B107" s="14"/>
      <c r="C107" s="15"/>
      <c r="D107" s="15"/>
    </row>
    <row r="108" spans="1:4" ht="15.75">
      <c r="A108" s="14"/>
      <c r="B108" s="14"/>
      <c r="C108" s="15"/>
      <c r="D108" s="15"/>
    </row>
    <row r="109" spans="1:4" ht="15.75">
      <c r="A109" s="14"/>
      <c r="B109" s="14"/>
      <c r="C109" s="15"/>
      <c r="D109" s="15"/>
    </row>
    <row r="110" spans="1:4" ht="15.75">
      <c r="A110" s="14"/>
      <c r="B110" s="14"/>
      <c r="C110" s="15"/>
      <c r="D110" s="15"/>
    </row>
    <row r="111" spans="1:4" ht="15.75">
      <c r="A111" s="23"/>
      <c r="B111" s="23"/>
      <c r="C111" s="22"/>
      <c r="D111" s="22"/>
    </row>
    <row r="112" spans="1:4" ht="15.75">
      <c r="A112" s="23"/>
      <c r="B112" s="23"/>
      <c r="C112" s="6"/>
      <c r="D112" s="6"/>
    </row>
    <row r="113" spans="1:4" ht="15.75">
      <c r="A113" s="16"/>
      <c r="B113" s="16"/>
      <c r="C113" s="15"/>
      <c r="D113" s="15"/>
    </row>
  </sheetData>
  <sheetProtection/>
  <mergeCells count="16">
    <mergeCell ref="C4:D4"/>
    <mergeCell ref="A66:D66"/>
    <mergeCell ref="A1:D1"/>
    <mergeCell ref="C3:E3"/>
    <mergeCell ref="B3:B5"/>
    <mergeCell ref="A3:A4"/>
    <mergeCell ref="F4:G4"/>
    <mergeCell ref="M4:N4"/>
    <mergeCell ref="F2:H2"/>
    <mergeCell ref="M2:P2"/>
    <mergeCell ref="F3:H3"/>
    <mergeCell ref="M3:O3"/>
    <mergeCell ref="P3:P5"/>
    <mergeCell ref="I3:K3"/>
    <mergeCell ref="I4:J4"/>
    <mergeCell ref="L3:L5"/>
  </mergeCells>
  <printOptions horizontalCentered="1"/>
  <pageMargins left="0" right="0" top="0.5905511811023623" bottom="0" header="0" footer="0"/>
  <pageSetup horizontalDpi="600" verticalDpi="600" orientation="landscape" paperSize="9" scale="6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="70" zoomScaleNormal="71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55" sqref="J55"/>
    </sheetView>
  </sheetViews>
  <sheetFormatPr defaultColWidth="9.140625" defaultRowHeight="12.75"/>
  <cols>
    <col min="1" max="1" width="30.8515625" style="8" customWidth="1"/>
    <col min="2" max="2" width="14.8515625" style="8" customWidth="1"/>
    <col min="3" max="3" width="19.8515625" style="9" customWidth="1"/>
    <col min="4" max="4" width="21.7109375" style="9" customWidth="1"/>
    <col min="5" max="5" width="20.57421875" style="7" customWidth="1"/>
    <col min="6" max="6" width="16.7109375" style="7" customWidth="1"/>
    <col min="7" max="7" width="20.421875" style="7" customWidth="1"/>
    <col min="8" max="12" width="20.00390625" style="7" customWidth="1"/>
    <col min="13" max="13" width="16.28125" style="7" customWidth="1"/>
    <col min="14" max="14" width="21.57421875" style="7" customWidth="1"/>
    <col min="15" max="15" width="17.421875" style="7" customWidth="1"/>
    <col min="16" max="16" width="16.7109375" style="7" customWidth="1"/>
    <col min="17" max="16384" width="9.140625" style="7" customWidth="1"/>
  </cols>
  <sheetData>
    <row r="1" spans="1:16" ht="15.75">
      <c r="A1" s="325"/>
      <c r="B1" s="325"/>
      <c r="C1" s="325"/>
      <c r="D1" s="3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.75" customHeight="1">
      <c r="A2" s="43"/>
      <c r="B2" s="43"/>
      <c r="C2" s="5"/>
      <c r="D2" s="5"/>
      <c r="F2" s="312"/>
      <c r="G2" s="312"/>
      <c r="H2" s="312"/>
      <c r="I2" s="42"/>
      <c r="J2" s="42"/>
      <c r="K2" s="42"/>
      <c r="L2" s="42"/>
      <c r="M2" s="312"/>
      <c r="N2" s="312"/>
      <c r="O2" s="312"/>
      <c r="P2" s="312"/>
    </row>
    <row r="3" spans="1:16" ht="62.25" customHeight="1">
      <c r="A3" s="335" t="s">
        <v>0</v>
      </c>
      <c r="B3" s="336" t="s">
        <v>52</v>
      </c>
      <c r="C3" s="332"/>
      <c r="D3" s="332"/>
      <c r="E3" s="332"/>
      <c r="F3" s="339" t="s">
        <v>63</v>
      </c>
      <c r="G3" s="339"/>
      <c r="H3" s="339"/>
      <c r="I3" s="316" t="s">
        <v>62</v>
      </c>
      <c r="J3" s="317"/>
      <c r="K3" s="318"/>
      <c r="L3" s="319" t="s">
        <v>65</v>
      </c>
      <c r="M3" s="333" t="s">
        <v>53</v>
      </c>
      <c r="N3" s="333"/>
      <c r="O3" s="333"/>
      <c r="P3" s="334" t="s">
        <v>64</v>
      </c>
    </row>
    <row r="4" spans="1:16" ht="117.75" customHeight="1">
      <c r="A4" s="335"/>
      <c r="B4" s="337"/>
      <c r="C4" s="330" t="s">
        <v>1</v>
      </c>
      <c r="D4" s="331"/>
      <c r="E4" s="41" t="s">
        <v>49</v>
      </c>
      <c r="F4" s="332" t="s">
        <v>1</v>
      </c>
      <c r="G4" s="332"/>
      <c r="H4" s="41" t="s">
        <v>49</v>
      </c>
      <c r="I4" s="311" t="s">
        <v>1</v>
      </c>
      <c r="J4" s="311"/>
      <c r="K4" s="83" t="s">
        <v>49</v>
      </c>
      <c r="L4" s="320"/>
      <c r="M4" s="332" t="s">
        <v>1</v>
      </c>
      <c r="N4" s="332"/>
      <c r="O4" s="41" t="s">
        <v>49</v>
      </c>
      <c r="P4" s="334"/>
    </row>
    <row r="5" spans="1:16" ht="125.25" customHeight="1">
      <c r="A5" s="2"/>
      <c r="B5" s="338"/>
      <c r="C5" s="1" t="s">
        <v>48</v>
      </c>
      <c r="D5" s="1" t="s">
        <v>47</v>
      </c>
      <c r="E5" s="1" t="s">
        <v>50</v>
      </c>
      <c r="F5" s="3" t="s">
        <v>48</v>
      </c>
      <c r="G5" s="3" t="s">
        <v>47</v>
      </c>
      <c r="H5" s="3" t="s">
        <v>50</v>
      </c>
      <c r="I5" s="83" t="s">
        <v>48</v>
      </c>
      <c r="J5" s="83" t="s">
        <v>47</v>
      </c>
      <c r="K5" s="83" t="s">
        <v>50</v>
      </c>
      <c r="L5" s="321"/>
      <c r="M5" s="3" t="s">
        <v>48</v>
      </c>
      <c r="N5" s="3" t="s">
        <v>47</v>
      </c>
      <c r="O5" s="3" t="s">
        <v>50</v>
      </c>
      <c r="P5" s="334"/>
    </row>
    <row r="6" spans="1:16" s="56" customFormat="1" ht="23.25" customHeight="1">
      <c r="A6" s="53" t="s">
        <v>2</v>
      </c>
      <c r="B6" s="34">
        <v>12</v>
      </c>
      <c r="C6" s="63"/>
      <c r="D6" s="63">
        <v>103</v>
      </c>
      <c r="E6" s="64"/>
      <c r="F6" s="57"/>
      <c r="G6" s="28">
        <v>6000</v>
      </c>
      <c r="H6" s="57"/>
      <c r="I6" s="55"/>
      <c r="J6" s="55">
        <v>1</v>
      </c>
      <c r="K6" s="55"/>
      <c r="L6" s="55">
        <v>1</v>
      </c>
      <c r="M6" s="58">
        <f>ROUND(C6*F6*I6*L6/1000,1)</f>
        <v>0</v>
      </c>
      <c r="N6" s="58">
        <f>ROUND(D6*G6*J6*L6/1000,1)</f>
        <v>618</v>
      </c>
      <c r="O6" s="58">
        <f>ROUND(E6*H6*K6*L6/1000,1)</f>
        <v>0</v>
      </c>
      <c r="P6" s="58">
        <f>SUM(M6:O6)</f>
        <v>618</v>
      </c>
    </row>
    <row r="7" spans="1:16" ht="15.75">
      <c r="A7" s="10" t="s">
        <v>3</v>
      </c>
      <c r="B7" s="34">
        <v>12</v>
      </c>
      <c r="C7" s="65">
        <v>25</v>
      </c>
      <c r="D7" s="65">
        <v>104</v>
      </c>
      <c r="E7" s="66"/>
      <c r="F7" s="28">
        <v>4500</v>
      </c>
      <c r="G7" s="28">
        <v>6000</v>
      </c>
      <c r="H7" s="28"/>
      <c r="I7" s="55">
        <v>1</v>
      </c>
      <c r="J7" s="55">
        <v>1</v>
      </c>
      <c r="K7" s="55"/>
      <c r="L7" s="39">
        <v>1</v>
      </c>
      <c r="M7" s="30">
        <f aca="true" t="shared" si="0" ref="M7:M50">ROUND(C7*F7*I7*L7/1000,1)</f>
        <v>112.5</v>
      </c>
      <c r="N7" s="30">
        <f aca="true" t="shared" si="1" ref="N7:N50">ROUND(D7*G7*J7*L7/1000,1)</f>
        <v>624</v>
      </c>
      <c r="O7" s="30">
        <f aca="true" t="shared" si="2" ref="O7:O50">ROUND(E7*H7*K7*L7/1000,1)</f>
        <v>0</v>
      </c>
      <c r="P7" s="30">
        <f aca="true" t="shared" si="3" ref="P7:P50">SUM(M7:O7)</f>
        <v>736.5</v>
      </c>
    </row>
    <row r="8" spans="1:16" ht="15.75">
      <c r="A8" s="10" t="s">
        <v>4</v>
      </c>
      <c r="B8" s="34">
        <v>12</v>
      </c>
      <c r="C8" s="65">
        <v>20</v>
      </c>
      <c r="D8" s="65">
        <v>122</v>
      </c>
      <c r="E8" s="64"/>
      <c r="F8" s="28">
        <v>4500</v>
      </c>
      <c r="G8" s="28">
        <v>6000</v>
      </c>
      <c r="H8" s="28"/>
      <c r="I8" s="55">
        <v>1</v>
      </c>
      <c r="J8" s="55">
        <v>1.02</v>
      </c>
      <c r="K8" s="55"/>
      <c r="L8" s="39">
        <v>1</v>
      </c>
      <c r="M8" s="30">
        <f t="shared" si="0"/>
        <v>90</v>
      </c>
      <c r="N8" s="30">
        <f t="shared" si="1"/>
        <v>746.6</v>
      </c>
      <c r="O8" s="30">
        <f t="shared" si="2"/>
        <v>0</v>
      </c>
      <c r="P8" s="30">
        <f t="shared" si="3"/>
        <v>836.6</v>
      </c>
    </row>
    <row r="9" spans="1:16" ht="15.75">
      <c r="A9" s="10" t="s">
        <v>5</v>
      </c>
      <c r="B9" s="34">
        <v>12</v>
      </c>
      <c r="C9" s="65">
        <v>45</v>
      </c>
      <c r="D9" s="65">
        <v>155</v>
      </c>
      <c r="E9" s="64">
        <v>43</v>
      </c>
      <c r="F9" s="28">
        <v>4500</v>
      </c>
      <c r="G9" s="28">
        <v>6000</v>
      </c>
      <c r="H9" s="28">
        <v>6000</v>
      </c>
      <c r="I9" s="55">
        <v>1</v>
      </c>
      <c r="J9" s="55">
        <v>1</v>
      </c>
      <c r="K9" s="55">
        <v>1.05</v>
      </c>
      <c r="L9" s="39">
        <v>1</v>
      </c>
      <c r="M9" s="30">
        <f t="shared" si="0"/>
        <v>202.5</v>
      </c>
      <c r="N9" s="30">
        <f t="shared" si="1"/>
        <v>930</v>
      </c>
      <c r="O9" s="30">
        <f t="shared" si="2"/>
        <v>270.9</v>
      </c>
      <c r="P9" s="30">
        <f t="shared" si="3"/>
        <v>1403.4</v>
      </c>
    </row>
    <row r="10" spans="1:16" ht="15.75">
      <c r="A10" s="10" t="s">
        <v>6</v>
      </c>
      <c r="B10" s="34">
        <v>12</v>
      </c>
      <c r="C10" s="65">
        <v>75</v>
      </c>
      <c r="D10" s="65">
        <v>173</v>
      </c>
      <c r="E10" s="64">
        <v>28</v>
      </c>
      <c r="F10" s="28">
        <v>4500</v>
      </c>
      <c r="G10" s="28">
        <v>6000</v>
      </c>
      <c r="H10" s="28">
        <v>6000</v>
      </c>
      <c r="I10" s="55">
        <v>1</v>
      </c>
      <c r="J10" s="55">
        <v>1.01</v>
      </c>
      <c r="K10" s="55">
        <v>1.07</v>
      </c>
      <c r="L10" s="39">
        <v>1</v>
      </c>
      <c r="M10" s="30">
        <f t="shared" si="0"/>
        <v>337.5</v>
      </c>
      <c r="N10" s="30">
        <f>ROUND(D10*G10*J10*L10/1000,1)+1.2</f>
        <v>1049.6000000000001</v>
      </c>
      <c r="O10" s="30">
        <f t="shared" si="2"/>
        <v>179.8</v>
      </c>
      <c r="P10" s="30">
        <f t="shared" si="3"/>
        <v>1566.9</v>
      </c>
    </row>
    <row r="11" spans="1:16" ht="15.75">
      <c r="A11" s="10" t="s">
        <v>7</v>
      </c>
      <c r="B11" s="34">
        <v>12</v>
      </c>
      <c r="C11" s="65"/>
      <c r="D11" s="65">
        <v>160</v>
      </c>
      <c r="E11" s="66"/>
      <c r="F11" s="28"/>
      <c r="G11" s="28">
        <v>6000</v>
      </c>
      <c r="H11" s="28"/>
      <c r="I11" s="55"/>
      <c r="J11" s="55">
        <v>1</v>
      </c>
      <c r="K11" s="55"/>
      <c r="L11" s="39">
        <v>1</v>
      </c>
      <c r="M11" s="30">
        <f t="shared" si="0"/>
        <v>0</v>
      </c>
      <c r="N11" s="30">
        <f t="shared" si="1"/>
        <v>960</v>
      </c>
      <c r="O11" s="30">
        <f t="shared" si="2"/>
        <v>0</v>
      </c>
      <c r="P11" s="30">
        <f t="shared" si="3"/>
        <v>960</v>
      </c>
    </row>
    <row r="12" spans="1:16" ht="15.75">
      <c r="A12" s="10" t="s">
        <v>8</v>
      </c>
      <c r="B12" s="34">
        <v>12</v>
      </c>
      <c r="C12" s="65">
        <v>25</v>
      </c>
      <c r="D12" s="65">
        <v>190</v>
      </c>
      <c r="E12" s="64">
        <v>45</v>
      </c>
      <c r="F12" s="28">
        <v>4500</v>
      </c>
      <c r="G12" s="28">
        <v>6000</v>
      </c>
      <c r="H12" s="28">
        <v>6000</v>
      </c>
      <c r="I12" s="55">
        <v>1</v>
      </c>
      <c r="J12" s="55">
        <v>1.05</v>
      </c>
      <c r="K12" s="55">
        <v>1</v>
      </c>
      <c r="L12" s="39">
        <v>1</v>
      </c>
      <c r="M12" s="30">
        <f t="shared" si="0"/>
        <v>112.5</v>
      </c>
      <c r="N12" s="30">
        <f t="shared" si="1"/>
        <v>1197</v>
      </c>
      <c r="O12" s="30">
        <f t="shared" si="2"/>
        <v>270</v>
      </c>
      <c r="P12" s="30">
        <f t="shared" si="3"/>
        <v>1579.5</v>
      </c>
    </row>
    <row r="13" spans="1:16" ht="15.75">
      <c r="A13" s="10" t="s">
        <v>9</v>
      </c>
      <c r="B13" s="34">
        <v>12</v>
      </c>
      <c r="C13" s="65">
        <v>44</v>
      </c>
      <c r="D13" s="65">
        <v>181</v>
      </c>
      <c r="E13" s="64">
        <v>45</v>
      </c>
      <c r="F13" s="28">
        <v>4500</v>
      </c>
      <c r="G13" s="28">
        <v>6000</v>
      </c>
      <c r="H13" s="28">
        <v>6000</v>
      </c>
      <c r="I13" s="55">
        <v>1</v>
      </c>
      <c r="J13" s="55">
        <v>1</v>
      </c>
      <c r="K13" s="55">
        <v>1</v>
      </c>
      <c r="L13" s="39">
        <v>1</v>
      </c>
      <c r="M13" s="30">
        <f t="shared" si="0"/>
        <v>198</v>
      </c>
      <c r="N13" s="30">
        <f t="shared" si="1"/>
        <v>1086</v>
      </c>
      <c r="O13" s="30">
        <f t="shared" si="2"/>
        <v>270</v>
      </c>
      <c r="P13" s="30">
        <f t="shared" si="3"/>
        <v>1554</v>
      </c>
    </row>
    <row r="14" spans="1:16" ht="15.75">
      <c r="A14" s="10" t="s">
        <v>10</v>
      </c>
      <c r="B14" s="34">
        <v>12</v>
      </c>
      <c r="C14" s="65">
        <v>41</v>
      </c>
      <c r="D14" s="65">
        <v>145</v>
      </c>
      <c r="E14" s="64">
        <v>37</v>
      </c>
      <c r="F14" s="28">
        <v>4500</v>
      </c>
      <c r="G14" s="28">
        <v>6000</v>
      </c>
      <c r="H14" s="28">
        <v>6000</v>
      </c>
      <c r="I14" s="55">
        <v>1</v>
      </c>
      <c r="J14" s="55">
        <v>1.03</v>
      </c>
      <c r="K14" s="55">
        <v>1</v>
      </c>
      <c r="L14" s="39">
        <v>1</v>
      </c>
      <c r="M14" s="30">
        <f t="shared" si="0"/>
        <v>184.5</v>
      </c>
      <c r="N14" s="30">
        <f t="shared" si="1"/>
        <v>896.1</v>
      </c>
      <c r="O14" s="30">
        <f t="shared" si="2"/>
        <v>222</v>
      </c>
      <c r="P14" s="30">
        <f t="shared" si="3"/>
        <v>1302.6</v>
      </c>
    </row>
    <row r="15" spans="1:16" ht="15.75">
      <c r="A15" s="10" t="s">
        <v>11</v>
      </c>
      <c r="B15" s="34">
        <v>12</v>
      </c>
      <c r="C15" s="65">
        <v>45</v>
      </c>
      <c r="D15" s="65">
        <v>159</v>
      </c>
      <c r="E15" s="64">
        <v>30</v>
      </c>
      <c r="F15" s="28">
        <v>4500</v>
      </c>
      <c r="G15" s="28">
        <v>6000</v>
      </c>
      <c r="H15" s="28">
        <v>6000</v>
      </c>
      <c r="I15" s="55">
        <v>1</v>
      </c>
      <c r="J15" s="55">
        <v>1</v>
      </c>
      <c r="K15" s="55">
        <v>1</v>
      </c>
      <c r="L15" s="39">
        <v>1</v>
      </c>
      <c r="M15" s="30">
        <f t="shared" si="0"/>
        <v>202.5</v>
      </c>
      <c r="N15" s="30">
        <f t="shared" si="1"/>
        <v>954</v>
      </c>
      <c r="O15" s="30">
        <f t="shared" si="2"/>
        <v>180</v>
      </c>
      <c r="P15" s="30">
        <f t="shared" si="3"/>
        <v>1336.5</v>
      </c>
    </row>
    <row r="16" spans="1:16" ht="15.75">
      <c r="A16" s="11" t="s">
        <v>12</v>
      </c>
      <c r="B16" s="34">
        <v>12</v>
      </c>
      <c r="C16" s="67">
        <v>22</v>
      </c>
      <c r="D16" s="67">
        <v>51</v>
      </c>
      <c r="E16" s="68">
        <v>16</v>
      </c>
      <c r="F16" s="28">
        <v>4500</v>
      </c>
      <c r="G16" s="28">
        <v>6000</v>
      </c>
      <c r="H16" s="28">
        <v>6000</v>
      </c>
      <c r="I16" s="55">
        <v>1</v>
      </c>
      <c r="J16" s="55">
        <v>1</v>
      </c>
      <c r="K16" s="55">
        <v>1</v>
      </c>
      <c r="L16" s="39">
        <v>1</v>
      </c>
      <c r="M16" s="30">
        <f t="shared" si="0"/>
        <v>99</v>
      </c>
      <c r="N16" s="30">
        <f t="shared" si="1"/>
        <v>306</v>
      </c>
      <c r="O16" s="30">
        <f t="shared" si="2"/>
        <v>96</v>
      </c>
      <c r="P16" s="30">
        <f t="shared" si="3"/>
        <v>501</v>
      </c>
    </row>
    <row r="17" spans="1:16" ht="15.75">
      <c r="A17" s="10" t="s">
        <v>26</v>
      </c>
      <c r="B17" s="35">
        <v>10</v>
      </c>
      <c r="C17" s="65"/>
      <c r="D17" s="65">
        <v>26</v>
      </c>
      <c r="E17" s="66"/>
      <c r="F17" s="28"/>
      <c r="G17" s="28">
        <v>6000</v>
      </c>
      <c r="H17" s="28"/>
      <c r="I17" s="55"/>
      <c r="J17" s="55">
        <v>1</v>
      </c>
      <c r="K17" s="55"/>
      <c r="L17" s="39">
        <v>1</v>
      </c>
      <c r="M17" s="30">
        <f t="shared" si="0"/>
        <v>0</v>
      </c>
      <c r="N17" s="30">
        <f t="shared" si="1"/>
        <v>156</v>
      </c>
      <c r="O17" s="30">
        <f t="shared" si="2"/>
        <v>0</v>
      </c>
      <c r="P17" s="30">
        <f t="shared" si="3"/>
        <v>156</v>
      </c>
    </row>
    <row r="18" spans="1:16" ht="15.75">
      <c r="A18" s="10" t="s">
        <v>25</v>
      </c>
      <c r="B18" s="35">
        <v>10</v>
      </c>
      <c r="C18" s="65"/>
      <c r="D18" s="65">
        <v>25</v>
      </c>
      <c r="E18" s="64"/>
      <c r="F18" s="28"/>
      <c r="G18" s="28">
        <v>6000</v>
      </c>
      <c r="H18" s="28"/>
      <c r="I18" s="55"/>
      <c r="J18" s="55">
        <v>1</v>
      </c>
      <c r="K18" s="55"/>
      <c r="L18" s="39">
        <v>1</v>
      </c>
      <c r="M18" s="30">
        <f t="shared" si="0"/>
        <v>0</v>
      </c>
      <c r="N18" s="30">
        <f t="shared" si="1"/>
        <v>150</v>
      </c>
      <c r="O18" s="30">
        <f t="shared" si="2"/>
        <v>0</v>
      </c>
      <c r="P18" s="30">
        <f t="shared" si="3"/>
        <v>150</v>
      </c>
    </row>
    <row r="19" spans="1:16" ht="15.75">
      <c r="A19" s="10" t="s">
        <v>13</v>
      </c>
      <c r="B19" s="35">
        <v>10</v>
      </c>
      <c r="C19" s="65"/>
      <c r="D19" s="65">
        <v>86</v>
      </c>
      <c r="E19" s="64"/>
      <c r="F19" s="28"/>
      <c r="G19" s="28">
        <v>6000</v>
      </c>
      <c r="H19" s="28"/>
      <c r="I19" s="55"/>
      <c r="J19" s="55">
        <v>1</v>
      </c>
      <c r="K19" s="55"/>
      <c r="L19" s="39">
        <v>1</v>
      </c>
      <c r="M19" s="30">
        <f t="shared" si="0"/>
        <v>0</v>
      </c>
      <c r="N19" s="30">
        <f t="shared" si="1"/>
        <v>516</v>
      </c>
      <c r="O19" s="30">
        <f t="shared" si="2"/>
        <v>0</v>
      </c>
      <c r="P19" s="30">
        <f t="shared" si="3"/>
        <v>516</v>
      </c>
    </row>
    <row r="20" spans="1:16" ht="15.75">
      <c r="A20" s="10" t="s">
        <v>14</v>
      </c>
      <c r="B20" s="35">
        <v>10</v>
      </c>
      <c r="C20" s="65"/>
      <c r="D20" s="65">
        <v>45</v>
      </c>
      <c r="E20" s="64"/>
      <c r="F20" s="28"/>
      <c r="G20" s="28">
        <v>6000</v>
      </c>
      <c r="H20" s="28"/>
      <c r="I20" s="55"/>
      <c r="J20" s="55">
        <v>1.11</v>
      </c>
      <c r="K20" s="55"/>
      <c r="L20" s="39">
        <v>1</v>
      </c>
      <c r="M20" s="30">
        <f t="shared" si="0"/>
        <v>0</v>
      </c>
      <c r="N20" s="30">
        <f t="shared" si="1"/>
        <v>299.7</v>
      </c>
      <c r="O20" s="30">
        <f t="shared" si="2"/>
        <v>0</v>
      </c>
      <c r="P20" s="30">
        <f t="shared" si="3"/>
        <v>299.7</v>
      </c>
    </row>
    <row r="21" spans="1:16" ht="15.75">
      <c r="A21" s="10" t="s">
        <v>15</v>
      </c>
      <c r="B21" s="35">
        <v>10</v>
      </c>
      <c r="C21" s="65"/>
      <c r="D21" s="65">
        <v>50</v>
      </c>
      <c r="E21" s="64"/>
      <c r="F21" s="28"/>
      <c r="G21" s="28">
        <v>6000</v>
      </c>
      <c r="H21" s="28"/>
      <c r="I21" s="55"/>
      <c r="J21" s="55">
        <v>1</v>
      </c>
      <c r="K21" s="55"/>
      <c r="L21" s="39">
        <v>1</v>
      </c>
      <c r="M21" s="30">
        <f t="shared" si="0"/>
        <v>0</v>
      </c>
      <c r="N21" s="30">
        <f t="shared" si="1"/>
        <v>300</v>
      </c>
      <c r="O21" s="30">
        <f t="shared" si="2"/>
        <v>0</v>
      </c>
      <c r="P21" s="30">
        <f t="shared" si="3"/>
        <v>300</v>
      </c>
    </row>
    <row r="22" spans="1:16" s="12" customFormat="1" ht="16.5" customHeight="1">
      <c r="A22" s="11" t="s">
        <v>16</v>
      </c>
      <c r="B22" s="36">
        <v>10</v>
      </c>
      <c r="C22" s="65"/>
      <c r="D22" s="65">
        <v>64</v>
      </c>
      <c r="E22" s="64"/>
      <c r="F22" s="28"/>
      <c r="G22" s="28">
        <v>6000</v>
      </c>
      <c r="H22" s="29"/>
      <c r="I22" s="55"/>
      <c r="J22" s="55">
        <v>1</v>
      </c>
      <c r="K22" s="55"/>
      <c r="L22" s="39">
        <v>1</v>
      </c>
      <c r="M22" s="30">
        <f t="shared" si="0"/>
        <v>0</v>
      </c>
      <c r="N22" s="30">
        <f t="shared" si="1"/>
        <v>384</v>
      </c>
      <c r="O22" s="30">
        <f t="shared" si="2"/>
        <v>0</v>
      </c>
      <c r="P22" s="30">
        <f t="shared" si="3"/>
        <v>384</v>
      </c>
    </row>
    <row r="23" spans="1:16" ht="19.5" customHeight="1">
      <c r="A23" s="10" t="s">
        <v>27</v>
      </c>
      <c r="B23" s="35">
        <v>9</v>
      </c>
      <c r="C23" s="65"/>
      <c r="D23" s="65">
        <v>18</v>
      </c>
      <c r="E23" s="69"/>
      <c r="F23" s="28"/>
      <c r="G23" s="28">
        <v>6000</v>
      </c>
      <c r="H23" s="28"/>
      <c r="I23" s="55"/>
      <c r="J23" s="55">
        <v>1.39</v>
      </c>
      <c r="K23" s="55"/>
      <c r="L23" s="39">
        <v>1</v>
      </c>
      <c r="M23" s="30">
        <f t="shared" si="0"/>
        <v>0</v>
      </c>
      <c r="N23" s="30">
        <f t="shared" si="1"/>
        <v>150.1</v>
      </c>
      <c r="O23" s="30">
        <f t="shared" si="2"/>
        <v>0</v>
      </c>
      <c r="P23" s="30">
        <f t="shared" si="3"/>
        <v>150.1</v>
      </c>
    </row>
    <row r="24" spans="1:16" ht="19.5" customHeight="1">
      <c r="A24" s="10" t="s">
        <v>28</v>
      </c>
      <c r="B24" s="35">
        <v>9</v>
      </c>
      <c r="C24" s="65"/>
      <c r="D24" s="65">
        <v>8</v>
      </c>
      <c r="E24" s="64"/>
      <c r="F24" s="28"/>
      <c r="G24" s="28">
        <v>6000</v>
      </c>
      <c r="H24" s="28"/>
      <c r="I24" s="55"/>
      <c r="J24" s="55">
        <v>3.12</v>
      </c>
      <c r="K24" s="55"/>
      <c r="L24" s="39">
        <v>1</v>
      </c>
      <c r="M24" s="30">
        <f t="shared" si="0"/>
        <v>0</v>
      </c>
      <c r="N24" s="30">
        <f t="shared" si="1"/>
        <v>149.8</v>
      </c>
      <c r="O24" s="30">
        <f t="shared" si="2"/>
        <v>0</v>
      </c>
      <c r="P24" s="30">
        <f t="shared" si="3"/>
        <v>149.8</v>
      </c>
    </row>
    <row r="25" spans="1:16" ht="19.5" customHeight="1">
      <c r="A25" s="10" t="s">
        <v>29</v>
      </c>
      <c r="B25" s="35">
        <v>9</v>
      </c>
      <c r="C25" s="65"/>
      <c r="D25" s="65">
        <v>12</v>
      </c>
      <c r="E25" s="64"/>
      <c r="F25" s="28"/>
      <c r="G25" s="28">
        <v>6000</v>
      </c>
      <c r="H25" s="28"/>
      <c r="I25" s="55"/>
      <c r="J25" s="55">
        <v>2.08</v>
      </c>
      <c r="K25" s="55"/>
      <c r="L25" s="39">
        <v>1</v>
      </c>
      <c r="M25" s="30">
        <f t="shared" si="0"/>
        <v>0</v>
      </c>
      <c r="N25" s="30">
        <f t="shared" si="1"/>
        <v>149.8</v>
      </c>
      <c r="O25" s="30">
        <f t="shared" si="2"/>
        <v>0</v>
      </c>
      <c r="P25" s="30">
        <f t="shared" si="3"/>
        <v>149.8</v>
      </c>
    </row>
    <row r="26" spans="1:16" ht="27.75" customHeight="1">
      <c r="A26" s="10" t="s">
        <v>30</v>
      </c>
      <c r="B26" s="35">
        <v>10</v>
      </c>
      <c r="C26" s="65"/>
      <c r="D26" s="65">
        <v>27</v>
      </c>
      <c r="E26" s="64"/>
      <c r="F26" s="28"/>
      <c r="G26" s="28">
        <v>6000</v>
      </c>
      <c r="H26" s="28"/>
      <c r="I26" s="55"/>
      <c r="J26" s="55">
        <v>1</v>
      </c>
      <c r="K26" s="55"/>
      <c r="L26" s="39">
        <v>1</v>
      </c>
      <c r="M26" s="30">
        <f t="shared" si="0"/>
        <v>0</v>
      </c>
      <c r="N26" s="30">
        <f t="shared" si="1"/>
        <v>162</v>
      </c>
      <c r="O26" s="30">
        <f t="shared" si="2"/>
        <v>0</v>
      </c>
      <c r="P26" s="30">
        <f t="shared" si="3"/>
        <v>162</v>
      </c>
    </row>
    <row r="27" spans="1:16" ht="22.5" customHeight="1">
      <c r="A27" s="10" t="s">
        <v>17</v>
      </c>
      <c r="B27" s="37">
        <v>10</v>
      </c>
      <c r="C27" s="63"/>
      <c r="D27" s="63">
        <v>95</v>
      </c>
      <c r="E27" s="64"/>
      <c r="F27" s="28"/>
      <c r="G27" s="28">
        <v>6000</v>
      </c>
      <c r="H27" s="28"/>
      <c r="I27" s="55"/>
      <c r="J27" s="55">
        <v>1.05</v>
      </c>
      <c r="K27" s="55"/>
      <c r="L27" s="39">
        <v>1</v>
      </c>
      <c r="M27" s="30">
        <f t="shared" si="0"/>
        <v>0</v>
      </c>
      <c r="N27" s="30">
        <f t="shared" si="1"/>
        <v>598.5</v>
      </c>
      <c r="O27" s="30">
        <f t="shared" si="2"/>
        <v>0</v>
      </c>
      <c r="P27" s="30">
        <f t="shared" si="3"/>
        <v>598.5</v>
      </c>
    </row>
    <row r="28" spans="1:16" ht="18.75" customHeight="1">
      <c r="A28" s="10" t="s">
        <v>18</v>
      </c>
      <c r="B28" s="35">
        <v>10</v>
      </c>
      <c r="C28" s="65"/>
      <c r="D28" s="65">
        <v>74</v>
      </c>
      <c r="E28" s="64">
        <v>17</v>
      </c>
      <c r="F28" s="28"/>
      <c r="G28" s="28">
        <v>6000</v>
      </c>
      <c r="H28" s="28">
        <v>6000</v>
      </c>
      <c r="I28" s="55"/>
      <c r="J28" s="55">
        <v>1.01</v>
      </c>
      <c r="K28" s="55">
        <v>1</v>
      </c>
      <c r="L28" s="39">
        <v>1</v>
      </c>
      <c r="M28" s="30">
        <f t="shared" si="0"/>
        <v>0</v>
      </c>
      <c r="N28" s="30">
        <f t="shared" si="1"/>
        <v>448.4</v>
      </c>
      <c r="O28" s="30">
        <f t="shared" si="2"/>
        <v>102</v>
      </c>
      <c r="P28" s="30">
        <f t="shared" si="3"/>
        <v>550.4</v>
      </c>
    </row>
    <row r="29" spans="1:16" s="12" customFormat="1" ht="25.5" customHeight="1">
      <c r="A29" s="11" t="s">
        <v>19</v>
      </c>
      <c r="B29" s="36">
        <v>10</v>
      </c>
      <c r="C29" s="65">
        <v>21</v>
      </c>
      <c r="D29" s="65">
        <v>52</v>
      </c>
      <c r="E29" s="69">
        <v>44</v>
      </c>
      <c r="F29" s="28">
        <v>4500</v>
      </c>
      <c r="G29" s="28">
        <v>6000</v>
      </c>
      <c r="H29" s="28">
        <v>6000</v>
      </c>
      <c r="I29" s="55">
        <v>1</v>
      </c>
      <c r="J29" s="55">
        <v>1</v>
      </c>
      <c r="K29" s="55">
        <v>1</v>
      </c>
      <c r="L29" s="39">
        <v>1</v>
      </c>
      <c r="M29" s="30">
        <f t="shared" si="0"/>
        <v>94.5</v>
      </c>
      <c r="N29" s="30">
        <f t="shared" si="1"/>
        <v>312</v>
      </c>
      <c r="O29" s="30">
        <f t="shared" si="2"/>
        <v>264</v>
      </c>
      <c r="P29" s="30">
        <f t="shared" si="3"/>
        <v>670.5</v>
      </c>
    </row>
    <row r="30" spans="1:16" ht="15.75">
      <c r="A30" s="10" t="s">
        <v>20</v>
      </c>
      <c r="B30" s="35">
        <v>10</v>
      </c>
      <c r="C30" s="65">
        <v>18</v>
      </c>
      <c r="D30" s="65">
        <v>119</v>
      </c>
      <c r="E30" s="66"/>
      <c r="F30" s="28">
        <v>4500</v>
      </c>
      <c r="G30" s="28">
        <v>6000</v>
      </c>
      <c r="H30" s="28"/>
      <c r="I30" s="55">
        <v>1.11</v>
      </c>
      <c r="J30" s="55">
        <v>1</v>
      </c>
      <c r="K30" s="55"/>
      <c r="L30" s="39">
        <v>1</v>
      </c>
      <c r="M30" s="30">
        <f t="shared" si="0"/>
        <v>89.9</v>
      </c>
      <c r="N30" s="30">
        <f t="shared" si="1"/>
        <v>714</v>
      </c>
      <c r="O30" s="30">
        <f t="shared" si="2"/>
        <v>0</v>
      </c>
      <c r="P30" s="30">
        <f t="shared" si="3"/>
        <v>803.9</v>
      </c>
    </row>
    <row r="31" spans="1:16" ht="15.75">
      <c r="A31" s="10" t="s">
        <v>21</v>
      </c>
      <c r="B31" s="35">
        <v>10</v>
      </c>
      <c r="C31" s="65">
        <v>24</v>
      </c>
      <c r="D31" s="65">
        <v>112</v>
      </c>
      <c r="E31" s="66"/>
      <c r="F31" s="28">
        <v>4500</v>
      </c>
      <c r="G31" s="28">
        <v>6000</v>
      </c>
      <c r="H31" s="28"/>
      <c r="I31" s="55">
        <v>1</v>
      </c>
      <c r="J31" s="55">
        <v>1.12</v>
      </c>
      <c r="K31" s="55"/>
      <c r="L31" s="39">
        <v>1</v>
      </c>
      <c r="M31" s="30">
        <f t="shared" si="0"/>
        <v>108</v>
      </c>
      <c r="N31" s="30">
        <f t="shared" si="1"/>
        <v>752.6</v>
      </c>
      <c r="O31" s="30">
        <f t="shared" si="2"/>
        <v>0</v>
      </c>
      <c r="P31" s="30">
        <f t="shared" si="3"/>
        <v>860.6</v>
      </c>
    </row>
    <row r="32" spans="1:16" ht="20.25" customHeight="1">
      <c r="A32" s="10" t="s">
        <v>31</v>
      </c>
      <c r="B32" s="35">
        <v>10</v>
      </c>
      <c r="C32" s="65"/>
      <c r="D32" s="65">
        <v>20</v>
      </c>
      <c r="E32" s="66"/>
      <c r="F32" s="28"/>
      <c r="G32" s="28">
        <v>6000</v>
      </c>
      <c r="H32" s="28"/>
      <c r="I32" s="55"/>
      <c r="J32" s="55">
        <v>1.25</v>
      </c>
      <c r="K32" s="55"/>
      <c r="L32" s="39">
        <v>1</v>
      </c>
      <c r="M32" s="30">
        <f t="shared" si="0"/>
        <v>0</v>
      </c>
      <c r="N32" s="30">
        <f t="shared" si="1"/>
        <v>150</v>
      </c>
      <c r="O32" s="30">
        <f t="shared" si="2"/>
        <v>0</v>
      </c>
      <c r="P32" s="30">
        <f t="shared" si="3"/>
        <v>150</v>
      </c>
    </row>
    <row r="33" spans="1:16" ht="15.75">
      <c r="A33" s="10" t="s">
        <v>32</v>
      </c>
      <c r="B33" s="35">
        <v>10</v>
      </c>
      <c r="C33" s="65"/>
      <c r="D33" s="65">
        <v>18</v>
      </c>
      <c r="E33" s="66"/>
      <c r="F33" s="28"/>
      <c r="G33" s="28">
        <v>6000</v>
      </c>
      <c r="H33" s="28"/>
      <c r="I33" s="55"/>
      <c r="J33" s="55">
        <v>1.39</v>
      </c>
      <c r="K33" s="55"/>
      <c r="L33" s="39">
        <v>1</v>
      </c>
      <c r="M33" s="30">
        <f t="shared" si="0"/>
        <v>0</v>
      </c>
      <c r="N33" s="30">
        <f t="shared" si="1"/>
        <v>150.1</v>
      </c>
      <c r="O33" s="30">
        <f t="shared" si="2"/>
        <v>0</v>
      </c>
      <c r="P33" s="30">
        <f t="shared" si="3"/>
        <v>150.1</v>
      </c>
    </row>
    <row r="34" spans="1:16" ht="21" customHeight="1">
      <c r="A34" s="10" t="s">
        <v>22</v>
      </c>
      <c r="B34" s="35">
        <v>10</v>
      </c>
      <c r="C34" s="65"/>
      <c r="D34" s="65">
        <v>62</v>
      </c>
      <c r="E34" s="66"/>
      <c r="F34" s="28"/>
      <c r="G34" s="28">
        <v>6000</v>
      </c>
      <c r="H34" s="28"/>
      <c r="I34" s="55"/>
      <c r="J34" s="55">
        <v>1</v>
      </c>
      <c r="K34" s="55"/>
      <c r="L34" s="39">
        <v>1</v>
      </c>
      <c r="M34" s="30">
        <f t="shared" si="0"/>
        <v>0</v>
      </c>
      <c r="N34" s="30">
        <f t="shared" si="1"/>
        <v>372</v>
      </c>
      <c r="O34" s="30">
        <f t="shared" si="2"/>
        <v>0</v>
      </c>
      <c r="P34" s="30">
        <f t="shared" si="3"/>
        <v>372</v>
      </c>
    </row>
    <row r="35" spans="1:16" ht="21" customHeight="1">
      <c r="A35" s="10" t="s">
        <v>33</v>
      </c>
      <c r="B35" s="35">
        <v>9</v>
      </c>
      <c r="C35" s="65"/>
      <c r="D35" s="65">
        <v>12</v>
      </c>
      <c r="E35" s="66"/>
      <c r="F35" s="28"/>
      <c r="G35" s="28">
        <v>6000</v>
      </c>
      <c r="H35" s="28"/>
      <c r="I35" s="55"/>
      <c r="J35" s="55">
        <v>2.08</v>
      </c>
      <c r="K35" s="55"/>
      <c r="L35" s="39">
        <v>1</v>
      </c>
      <c r="M35" s="30">
        <f t="shared" si="0"/>
        <v>0</v>
      </c>
      <c r="N35" s="30">
        <f t="shared" si="1"/>
        <v>149.8</v>
      </c>
      <c r="O35" s="30">
        <f t="shared" si="2"/>
        <v>0</v>
      </c>
      <c r="P35" s="30">
        <f t="shared" si="3"/>
        <v>149.8</v>
      </c>
    </row>
    <row r="36" spans="1:16" ht="15.75">
      <c r="A36" s="10" t="s">
        <v>34</v>
      </c>
      <c r="B36" s="35">
        <v>10</v>
      </c>
      <c r="C36" s="65"/>
      <c r="D36" s="65">
        <v>31</v>
      </c>
      <c r="E36" s="66"/>
      <c r="F36" s="28"/>
      <c r="G36" s="28">
        <v>6000</v>
      </c>
      <c r="H36" s="28"/>
      <c r="I36" s="55"/>
      <c r="J36" s="55">
        <v>1.61</v>
      </c>
      <c r="K36" s="55"/>
      <c r="L36" s="39">
        <v>1</v>
      </c>
      <c r="M36" s="30">
        <f t="shared" si="0"/>
        <v>0</v>
      </c>
      <c r="N36" s="30">
        <f t="shared" si="1"/>
        <v>299.5</v>
      </c>
      <c r="O36" s="30">
        <f t="shared" si="2"/>
        <v>0</v>
      </c>
      <c r="P36" s="30">
        <f t="shared" si="3"/>
        <v>299.5</v>
      </c>
    </row>
    <row r="37" spans="1:16" ht="15.75">
      <c r="A37" s="10" t="s">
        <v>35</v>
      </c>
      <c r="B37" s="35">
        <v>10</v>
      </c>
      <c r="C37" s="65"/>
      <c r="D37" s="65">
        <v>26</v>
      </c>
      <c r="E37" s="66"/>
      <c r="F37" s="28"/>
      <c r="G37" s="28">
        <v>6000</v>
      </c>
      <c r="H37" s="28"/>
      <c r="I37" s="55"/>
      <c r="J37" s="55">
        <v>1</v>
      </c>
      <c r="K37" s="55"/>
      <c r="L37" s="39">
        <v>1</v>
      </c>
      <c r="M37" s="30">
        <f t="shared" si="0"/>
        <v>0</v>
      </c>
      <c r="N37" s="30">
        <f t="shared" si="1"/>
        <v>156</v>
      </c>
      <c r="O37" s="30">
        <f t="shared" si="2"/>
        <v>0</v>
      </c>
      <c r="P37" s="30">
        <f t="shared" si="3"/>
        <v>156</v>
      </c>
    </row>
    <row r="38" spans="1:16" ht="15.75">
      <c r="A38" s="10" t="s">
        <v>36</v>
      </c>
      <c r="B38" s="35">
        <v>10</v>
      </c>
      <c r="C38" s="65"/>
      <c r="D38" s="65">
        <v>34</v>
      </c>
      <c r="E38" s="70"/>
      <c r="F38" s="28"/>
      <c r="G38" s="28">
        <v>6000</v>
      </c>
      <c r="H38" s="28"/>
      <c r="I38" s="55"/>
      <c r="J38" s="55">
        <v>1.47</v>
      </c>
      <c r="K38" s="55"/>
      <c r="L38" s="39">
        <v>1</v>
      </c>
      <c r="M38" s="30">
        <f t="shared" si="0"/>
        <v>0</v>
      </c>
      <c r="N38" s="30">
        <f t="shared" si="1"/>
        <v>299.9</v>
      </c>
      <c r="O38" s="30">
        <f t="shared" si="2"/>
        <v>0</v>
      </c>
      <c r="P38" s="30">
        <f t="shared" si="3"/>
        <v>299.9</v>
      </c>
    </row>
    <row r="39" spans="1:16" s="12" customFormat="1" ht="16.5" customHeight="1">
      <c r="A39" s="11" t="s">
        <v>37</v>
      </c>
      <c r="B39" s="36">
        <v>9</v>
      </c>
      <c r="C39" s="65"/>
      <c r="D39" s="65">
        <v>22</v>
      </c>
      <c r="E39" s="64"/>
      <c r="F39" s="28"/>
      <c r="G39" s="28">
        <v>6000</v>
      </c>
      <c r="H39" s="29"/>
      <c r="I39" s="55"/>
      <c r="J39" s="55">
        <v>1.14</v>
      </c>
      <c r="K39" s="55"/>
      <c r="L39" s="39">
        <v>1</v>
      </c>
      <c r="M39" s="30">
        <f t="shared" si="0"/>
        <v>0</v>
      </c>
      <c r="N39" s="30">
        <f t="shared" si="1"/>
        <v>150.5</v>
      </c>
      <c r="O39" s="30">
        <f t="shared" si="2"/>
        <v>0</v>
      </c>
      <c r="P39" s="30">
        <f t="shared" si="3"/>
        <v>150.5</v>
      </c>
    </row>
    <row r="40" spans="1:16" s="12" customFormat="1" ht="15" customHeight="1">
      <c r="A40" s="11" t="s">
        <v>38</v>
      </c>
      <c r="B40" s="36">
        <v>10</v>
      </c>
      <c r="C40" s="65"/>
      <c r="D40" s="65">
        <v>34</v>
      </c>
      <c r="E40" s="66"/>
      <c r="F40" s="28"/>
      <c r="G40" s="28">
        <v>6000</v>
      </c>
      <c r="H40" s="29"/>
      <c r="I40" s="55"/>
      <c r="J40" s="55">
        <v>1.47</v>
      </c>
      <c r="K40" s="55"/>
      <c r="L40" s="39">
        <v>1</v>
      </c>
      <c r="M40" s="30">
        <f t="shared" si="0"/>
        <v>0</v>
      </c>
      <c r="N40" s="30">
        <f t="shared" si="1"/>
        <v>299.9</v>
      </c>
      <c r="O40" s="30">
        <f t="shared" si="2"/>
        <v>0</v>
      </c>
      <c r="P40" s="30">
        <f t="shared" si="3"/>
        <v>299.9</v>
      </c>
    </row>
    <row r="41" spans="1:16" ht="18.75" customHeight="1">
      <c r="A41" s="10" t="s">
        <v>39</v>
      </c>
      <c r="B41" s="35">
        <v>10</v>
      </c>
      <c r="C41" s="65"/>
      <c r="D41" s="65">
        <v>63</v>
      </c>
      <c r="E41" s="66"/>
      <c r="F41" s="28"/>
      <c r="G41" s="28">
        <v>6000</v>
      </c>
      <c r="H41" s="28"/>
      <c r="I41" s="55"/>
      <c r="J41" s="55">
        <v>1.19</v>
      </c>
      <c r="K41" s="55"/>
      <c r="L41" s="39">
        <v>1</v>
      </c>
      <c r="M41" s="30">
        <f t="shared" si="0"/>
        <v>0</v>
      </c>
      <c r="N41" s="30">
        <f t="shared" si="1"/>
        <v>449.8</v>
      </c>
      <c r="O41" s="30">
        <f t="shared" si="2"/>
        <v>0</v>
      </c>
      <c r="P41" s="30">
        <f t="shared" si="3"/>
        <v>449.8</v>
      </c>
    </row>
    <row r="42" spans="1:16" ht="15.75">
      <c r="A42" s="10" t="s">
        <v>40</v>
      </c>
      <c r="B42" s="35">
        <v>9</v>
      </c>
      <c r="C42" s="71"/>
      <c r="D42" s="71">
        <v>12</v>
      </c>
      <c r="E42" s="72"/>
      <c r="F42" s="28"/>
      <c r="G42" s="28">
        <v>6000</v>
      </c>
      <c r="H42" s="28"/>
      <c r="I42" s="55"/>
      <c r="J42" s="55">
        <v>2.08</v>
      </c>
      <c r="K42" s="55"/>
      <c r="L42" s="39">
        <v>1</v>
      </c>
      <c r="M42" s="30">
        <f t="shared" si="0"/>
        <v>0</v>
      </c>
      <c r="N42" s="30">
        <f t="shared" si="1"/>
        <v>149.8</v>
      </c>
      <c r="O42" s="30">
        <f t="shared" si="2"/>
        <v>0</v>
      </c>
      <c r="P42" s="30">
        <f t="shared" si="3"/>
        <v>149.8</v>
      </c>
    </row>
    <row r="43" spans="1:16" ht="14.25" customHeight="1">
      <c r="A43" s="10" t="s">
        <v>23</v>
      </c>
      <c r="B43" s="38">
        <v>10</v>
      </c>
      <c r="C43" s="73"/>
      <c r="D43" s="73">
        <v>40</v>
      </c>
      <c r="E43" s="73"/>
      <c r="F43" s="28"/>
      <c r="G43" s="28">
        <v>6000</v>
      </c>
      <c r="H43" s="28"/>
      <c r="I43" s="55"/>
      <c r="J43" s="55">
        <v>1.25</v>
      </c>
      <c r="K43" s="55"/>
      <c r="L43" s="39">
        <v>1</v>
      </c>
      <c r="M43" s="30">
        <f t="shared" si="0"/>
        <v>0</v>
      </c>
      <c r="N43" s="30">
        <f t="shared" si="1"/>
        <v>300</v>
      </c>
      <c r="O43" s="30">
        <f t="shared" si="2"/>
        <v>0</v>
      </c>
      <c r="P43" s="30">
        <f t="shared" si="3"/>
        <v>300</v>
      </c>
    </row>
    <row r="44" spans="1:16" ht="15.75">
      <c r="A44" s="10" t="s">
        <v>41</v>
      </c>
      <c r="B44" s="35">
        <v>10</v>
      </c>
      <c r="C44" s="63"/>
      <c r="D44" s="63">
        <v>22</v>
      </c>
      <c r="E44" s="74"/>
      <c r="F44" s="28"/>
      <c r="G44" s="28">
        <v>6000</v>
      </c>
      <c r="H44" s="28"/>
      <c r="I44" s="55"/>
      <c r="J44" s="55">
        <v>1.14</v>
      </c>
      <c r="K44" s="55"/>
      <c r="L44" s="39">
        <v>1</v>
      </c>
      <c r="M44" s="30">
        <f t="shared" si="0"/>
        <v>0</v>
      </c>
      <c r="N44" s="30">
        <f t="shared" si="1"/>
        <v>150.5</v>
      </c>
      <c r="O44" s="30">
        <f t="shared" si="2"/>
        <v>0</v>
      </c>
      <c r="P44" s="30">
        <f t="shared" si="3"/>
        <v>150.5</v>
      </c>
    </row>
    <row r="45" spans="1:16" ht="15.75">
      <c r="A45" s="10" t="s">
        <v>42</v>
      </c>
      <c r="B45" s="35">
        <v>9</v>
      </c>
      <c r="C45" s="65"/>
      <c r="D45" s="65">
        <v>7</v>
      </c>
      <c r="E45" s="66"/>
      <c r="F45" s="28"/>
      <c r="G45" s="28">
        <v>6000</v>
      </c>
      <c r="H45" s="28"/>
      <c r="I45" s="55"/>
      <c r="J45" s="55">
        <v>3.57</v>
      </c>
      <c r="K45" s="55"/>
      <c r="L45" s="39">
        <v>1</v>
      </c>
      <c r="M45" s="30">
        <f t="shared" si="0"/>
        <v>0</v>
      </c>
      <c r="N45" s="30">
        <f t="shared" si="1"/>
        <v>149.9</v>
      </c>
      <c r="O45" s="30">
        <f t="shared" si="2"/>
        <v>0</v>
      </c>
      <c r="P45" s="30">
        <f t="shared" si="3"/>
        <v>149.9</v>
      </c>
    </row>
    <row r="46" spans="1:16" ht="22.5" customHeight="1">
      <c r="A46" s="10" t="s">
        <v>43</v>
      </c>
      <c r="B46" s="35">
        <v>10</v>
      </c>
      <c r="C46" s="65"/>
      <c r="D46" s="65">
        <v>15</v>
      </c>
      <c r="E46" s="70"/>
      <c r="F46" s="28"/>
      <c r="G46" s="28">
        <v>6000</v>
      </c>
      <c r="H46" s="28"/>
      <c r="I46" s="55"/>
      <c r="J46" s="55">
        <v>1.67</v>
      </c>
      <c r="K46" s="55"/>
      <c r="L46" s="39">
        <v>1</v>
      </c>
      <c r="M46" s="30">
        <f t="shared" si="0"/>
        <v>0</v>
      </c>
      <c r="N46" s="30">
        <f t="shared" si="1"/>
        <v>150.3</v>
      </c>
      <c r="O46" s="30">
        <f t="shared" si="2"/>
        <v>0</v>
      </c>
      <c r="P46" s="30">
        <f t="shared" si="3"/>
        <v>150.3</v>
      </c>
    </row>
    <row r="47" spans="1:16" s="97" customFormat="1" ht="15.75">
      <c r="A47" s="92" t="s">
        <v>24</v>
      </c>
      <c r="B47" s="93">
        <v>9</v>
      </c>
      <c r="C47" s="85"/>
      <c r="D47" s="85">
        <v>14</v>
      </c>
      <c r="E47" s="86"/>
      <c r="F47" s="94"/>
      <c r="G47" s="28">
        <v>6000</v>
      </c>
      <c r="H47" s="94"/>
      <c r="I47" s="88"/>
      <c r="J47" s="88">
        <v>1.36</v>
      </c>
      <c r="K47" s="88"/>
      <c r="L47" s="95">
        <v>1</v>
      </c>
      <c r="M47" s="96">
        <f t="shared" si="0"/>
        <v>0</v>
      </c>
      <c r="N47" s="96">
        <f t="shared" si="1"/>
        <v>114.2</v>
      </c>
      <c r="O47" s="96">
        <f t="shared" si="2"/>
        <v>0</v>
      </c>
      <c r="P47" s="96">
        <f t="shared" si="3"/>
        <v>114.2</v>
      </c>
    </row>
    <row r="48" spans="1:16" ht="18" customHeight="1">
      <c r="A48" s="10" t="s">
        <v>44</v>
      </c>
      <c r="B48" s="35">
        <v>10</v>
      </c>
      <c r="C48" s="65"/>
      <c r="D48" s="65">
        <v>21</v>
      </c>
      <c r="E48" s="66"/>
      <c r="F48" s="28"/>
      <c r="G48" s="28">
        <v>6000</v>
      </c>
      <c r="H48" s="28"/>
      <c r="I48" s="55"/>
      <c r="J48" s="55">
        <v>1.19</v>
      </c>
      <c r="K48" s="55"/>
      <c r="L48" s="39">
        <v>1</v>
      </c>
      <c r="M48" s="30">
        <f t="shared" si="0"/>
        <v>0</v>
      </c>
      <c r="N48" s="30">
        <f t="shared" si="1"/>
        <v>149.9</v>
      </c>
      <c r="O48" s="30">
        <f t="shared" si="2"/>
        <v>0</v>
      </c>
      <c r="P48" s="30">
        <f t="shared" si="3"/>
        <v>149.9</v>
      </c>
    </row>
    <row r="49" spans="1:16" ht="34.5" customHeight="1">
      <c r="A49" s="11" t="s">
        <v>45</v>
      </c>
      <c r="B49" s="36">
        <v>9</v>
      </c>
      <c r="C49" s="65"/>
      <c r="D49" s="65">
        <v>9</v>
      </c>
      <c r="E49" s="66"/>
      <c r="F49" s="28"/>
      <c r="G49" s="28">
        <v>6000</v>
      </c>
      <c r="H49" s="28"/>
      <c r="I49" s="55"/>
      <c r="J49" s="55">
        <v>2.78</v>
      </c>
      <c r="K49" s="55"/>
      <c r="L49" s="39">
        <v>1</v>
      </c>
      <c r="M49" s="30">
        <f t="shared" si="0"/>
        <v>0</v>
      </c>
      <c r="N49" s="30">
        <f t="shared" si="1"/>
        <v>150.1</v>
      </c>
      <c r="O49" s="30">
        <f t="shared" si="2"/>
        <v>0</v>
      </c>
      <c r="P49" s="30">
        <f t="shared" si="3"/>
        <v>150.1</v>
      </c>
    </row>
    <row r="50" spans="1:16" s="12" customFormat="1" ht="32.25" thickBot="1">
      <c r="A50" s="11" t="s">
        <v>46</v>
      </c>
      <c r="B50" s="36">
        <v>10</v>
      </c>
      <c r="C50" s="65"/>
      <c r="D50" s="65">
        <v>17</v>
      </c>
      <c r="E50" s="72"/>
      <c r="F50" s="28"/>
      <c r="G50" s="28">
        <v>6000</v>
      </c>
      <c r="H50" s="29"/>
      <c r="I50" s="55"/>
      <c r="J50" s="55">
        <v>1.47</v>
      </c>
      <c r="K50" s="55"/>
      <c r="L50" s="39">
        <v>1</v>
      </c>
      <c r="M50" s="30">
        <f t="shared" si="0"/>
        <v>0</v>
      </c>
      <c r="N50" s="30">
        <f t="shared" si="1"/>
        <v>149.9</v>
      </c>
      <c r="O50" s="30">
        <f t="shared" si="2"/>
        <v>0</v>
      </c>
      <c r="P50" s="30">
        <f t="shared" si="3"/>
        <v>149.9</v>
      </c>
    </row>
    <row r="51" spans="1:16" ht="16.5" thickBot="1">
      <c r="A51" s="18" t="s">
        <v>51</v>
      </c>
      <c r="B51" s="18"/>
      <c r="C51" s="75">
        <f>SUM(C6:C50)</f>
        <v>405</v>
      </c>
      <c r="D51" s="75">
        <f>SUM(D6:D50)</f>
        <v>2835</v>
      </c>
      <c r="E51" s="76">
        <f>SUM(E6:E50)</f>
        <v>305</v>
      </c>
      <c r="F51" s="24"/>
      <c r="G51" s="28"/>
      <c r="H51" s="28"/>
      <c r="I51" s="39">
        <f>SUM(I6:I50)</f>
        <v>12.11</v>
      </c>
      <c r="J51" s="39">
        <f>SUM(J6:J50)</f>
        <v>60.099999999999994</v>
      </c>
      <c r="K51" s="39">
        <f>SUM(K6:K50)</f>
        <v>9.120000000000001</v>
      </c>
      <c r="L51" s="28"/>
      <c r="M51" s="30">
        <f>SUM(M6:M50)</f>
        <v>1831.4</v>
      </c>
      <c r="N51" s="30">
        <f>SUM(N6:N50)</f>
        <v>18552.3</v>
      </c>
      <c r="O51" s="30">
        <f>SUM(O6:O50)</f>
        <v>1854.7</v>
      </c>
      <c r="P51" s="30">
        <f>SUM(P6:P50)</f>
        <v>22238.4</v>
      </c>
    </row>
    <row r="52" spans="1:16" ht="18" customHeight="1">
      <c r="A52" s="13"/>
      <c r="B52" s="13"/>
      <c r="C52" s="45"/>
      <c r="D52" s="19"/>
      <c r="I52" s="44"/>
      <c r="J52" s="44"/>
      <c r="K52" s="46"/>
      <c r="P52" s="31"/>
    </row>
    <row r="53" spans="1:12" ht="15.75">
      <c r="A53" s="14"/>
      <c r="B53" s="14"/>
      <c r="C53" s="15"/>
      <c r="D53" s="15"/>
      <c r="I53" s="47"/>
      <c r="J53" s="47"/>
      <c r="K53" s="47"/>
      <c r="L53" s="47"/>
    </row>
    <row r="54" spans="1:16" ht="15.75">
      <c r="A54" s="14"/>
      <c r="B54" s="14"/>
      <c r="C54" s="15"/>
      <c r="D54" s="15"/>
      <c r="P54" s="31"/>
    </row>
    <row r="55" spans="1:4" ht="15.75">
      <c r="A55" s="14"/>
      <c r="B55" s="14"/>
      <c r="C55" s="15"/>
      <c r="D55" s="15"/>
    </row>
    <row r="56" spans="1:4" ht="15.75">
      <c r="A56" s="14"/>
      <c r="B56" s="14"/>
      <c r="C56" s="15"/>
      <c r="D56" s="15"/>
    </row>
    <row r="57" spans="1:4" ht="15.75">
      <c r="A57" s="20"/>
      <c r="B57" s="20"/>
      <c r="C57" s="15"/>
      <c r="D57" s="15"/>
    </row>
    <row r="58" spans="1:4" ht="15.75">
      <c r="A58" s="20"/>
      <c r="B58" s="20"/>
      <c r="C58" s="15"/>
      <c r="D58" s="15"/>
    </row>
    <row r="59" spans="1:4" ht="16.5" customHeight="1">
      <c r="A59" s="14"/>
      <c r="B59" s="14"/>
      <c r="C59" s="15"/>
      <c r="D59" s="15"/>
    </row>
    <row r="60" spans="1:4" ht="15.75">
      <c r="A60" s="14"/>
      <c r="B60" s="14"/>
      <c r="C60" s="15"/>
      <c r="D60" s="15"/>
    </row>
    <row r="61" spans="1:4" ht="15.75">
      <c r="A61" s="14"/>
      <c r="B61" s="14"/>
      <c r="C61" s="15"/>
      <c r="D61" s="15"/>
    </row>
    <row r="62" spans="1:4" ht="15.75">
      <c r="A62" s="14"/>
      <c r="B62" s="14"/>
      <c r="C62" s="15"/>
      <c r="D62" s="15"/>
    </row>
    <row r="63" spans="1:4" ht="15.75">
      <c r="A63" s="14"/>
      <c r="B63" s="14"/>
      <c r="C63" s="15"/>
      <c r="D63" s="15"/>
    </row>
    <row r="64" spans="1:4" ht="15.75">
      <c r="A64" s="14"/>
      <c r="B64" s="14"/>
      <c r="C64" s="15"/>
      <c r="D64" s="15"/>
    </row>
    <row r="65" spans="1:4" ht="15.75">
      <c r="A65" s="21"/>
      <c r="B65" s="21"/>
      <c r="C65" s="22"/>
      <c r="D65" s="22"/>
    </row>
    <row r="66" spans="1:4" s="17" customFormat="1" ht="16.5" customHeight="1">
      <c r="A66" s="324"/>
      <c r="B66" s="324"/>
      <c r="C66" s="324"/>
      <c r="D66" s="324"/>
    </row>
    <row r="67" spans="1:4" ht="15.75">
      <c r="A67" s="20"/>
      <c r="B67" s="20"/>
      <c r="C67" s="15"/>
      <c r="D67" s="15"/>
    </row>
    <row r="68" spans="1:4" ht="15.75">
      <c r="A68" s="20"/>
      <c r="B68" s="20"/>
      <c r="C68" s="15"/>
      <c r="D68" s="15"/>
    </row>
    <row r="69" spans="1:4" ht="15.75">
      <c r="A69" s="20"/>
      <c r="B69" s="20"/>
      <c r="C69" s="15"/>
      <c r="D69" s="15"/>
    </row>
    <row r="70" spans="1:4" ht="15.75">
      <c r="A70" s="20"/>
      <c r="B70" s="20"/>
      <c r="C70" s="15"/>
      <c r="D70" s="15"/>
    </row>
    <row r="71" spans="1:4" ht="18" customHeight="1">
      <c r="A71" s="20"/>
      <c r="B71" s="20"/>
      <c r="C71" s="15"/>
      <c r="D71" s="15"/>
    </row>
    <row r="72" spans="1:4" ht="15.75">
      <c r="A72" s="20"/>
      <c r="B72" s="20"/>
      <c r="C72" s="15"/>
      <c r="D72" s="15"/>
    </row>
    <row r="73" spans="1:4" ht="15.75">
      <c r="A73" s="20"/>
      <c r="B73" s="20"/>
      <c r="C73" s="15"/>
      <c r="D73" s="15"/>
    </row>
    <row r="74" spans="1:4" ht="15.75">
      <c r="A74" s="20"/>
      <c r="B74" s="20"/>
      <c r="C74" s="15"/>
      <c r="D74" s="15"/>
    </row>
    <row r="75" spans="1:4" ht="15.75">
      <c r="A75" s="20"/>
      <c r="B75" s="20"/>
      <c r="C75" s="15"/>
      <c r="D75" s="15"/>
    </row>
    <row r="76" spans="1:4" ht="15.75">
      <c r="A76" s="20"/>
      <c r="B76" s="20"/>
      <c r="C76" s="15"/>
      <c r="D76" s="15"/>
    </row>
    <row r="77" spans="1:4" ht="15.75">
      <c r="A77" s="14"/>
      <c r="B77" s="14"/>
      <c r="C77" s="15"/>
      <c r="D77" s="15"/>
    </row>
    <row r="78" spans="1:4" ht="15.75">
      <c r="A78" s="14"/>
      <c r="B78" s="14"/>
      <c r="C78" s="15"/>
      <c r="D78" s="15"/>
    </row>
    <row r="79" spans="1:4" ht="15.75">
      <c r="A79" s="14"/>
      <c r="B79" s="14"/>
      <c r="C79" s="15"/>
      <c r="D79" s="15"/>
    </row>
    <row r="80" spans="1:4" ht="15.75">
      <c r="A80" s="14"/>
      <c r="B80" s="14"/>
      <c r="C80" s="15"/>
      <c r="D80" s="15"/>
    </row>
    <row r="81" spans="1:4" ht="15.75">
      <c r="A81" s="14"/>
      <c r="B81" s="14"/>
      <c r="C81" s="15"/>
      <c r="D81" s="15"/>
    </row>
    <row r="82" spans="1:4" ht="15.75">
      <c r="A82" s="14"/>
      <c r="B82" s="14"/>
      <c r="C82" s="15"/>
      <c r="D82" s="15"/>
    </row>
    <row r="83" spans="1:4" ht="15.75">
      <c r="A83" s="14"/>
      <c r="B83" s="14"/>
      <c r="C83" s="15"/>
      <c r="D83" s="15"/>
    </row>
    <row r="84" spans="1:4" ht="15.75">
      <c r="A84" s="14"/>
      <c r="B84" s="14"/>
      <c r="C84" s="15"/>
      <c r="D84" s="15"/>
    </row>
    <row r="85" spans="1:4" ht="15.75">
      <c r="A85" s="14"/>
      <c r="B85" s="14"/>
      <c r="C85" s="15"/>
      <c r="D85" s="15"/>
    </row>
    <row r="86" spans="1:4" ht="15.75">
      <c r="A86" s="14"/>
      <c r="B86" s="14"/>
      <c r="C86" s="15"/>
      <c r="D86" s="15"/>
    </row>
    <row r="87" spans="1:4" ht="15.75">
      <c r="A87" s="14"/>
      <c r="B87" s="14"/>
      <c r="C87" s="15"/>
      <c r="D87" s="15"/>
    </row>
    <row r="88" spans="1:4" ht="15.75">
      <c r="A88" s="14"/>
      <c r="B88" s="14"/>
      <c r="C88" s="15"/>
      <c r="D88" s="15"/>
    </row>
    <row r="89" spans="1:4" ht="15.75">
      <c r="A89" s="14"/>
      <c r="B89" s="14"/>
      <c r="C89" s="15"/>
      <c r="D89" s="15"/>
    </row>
    <row r="90" spans="1:4" ht="15.75">
      <c r="A90" s="14"/>
      <c r="B90" s="14"/>
      <c r="C90" s="15"/>
      <c r="D90" s="15"/>
    </row>
    <row r="91" spans="1:4" ht="15.75">
      <c r="A91" s="14"/>
      <c r="B91" s="14"/>
      <c r="C91" s="15"/>
      <c r="D91" s="15"/>
    </row>
    <row r="92" spans="1:4" ht="15.75">
      <c r="A92" s="14"/>
      <c r="B92" s="14"/>
      <c r="C92" s="15"/>
      <c r="D92" s="15"/>
    </row>
    <row r="93" spans="1:4" ht="15.75">
      <c r="A93" s="14"/>
      <c r="B93" s="14"/>
      <c r="C93" s="15"/>
      <c r="D93" s="15"/>
    </row>
    <row r="94" spans="1:4" ht="15.75">
      <c r="A94" s="14"/>
      <c r="B94" s="14"/>
      <c r="C94" s="15"/>
      <c r="D94" s="15"/>
    </row>
    <row r="95" spans="1:4" ht="15.75">
      <c r="A95" s="14"/>
      <c r="B95" s="14"/>
      <c r="C95" s="15"/>
      <c r="D95" s="15"/>
    </row>
    <row r="96" spans="1:4" ht="15.75">
      <c r="A96" s="14"/>
      <c r="B96" s="14"/>
      <c r="C96" s="15"/>
      <c r="D96" s="15"/>
    </row>
    <row r="97" spans="1:4" ht="15.75">
      <c r="A97" s="14"/>
      <c r="B97" s="14"/>
      <c r="C97" s="15"/>
      <c r="D97" s="15"/>
    </row>
    <row r="98" spans="1:4" ht="15.75">
      <c r="A98" s="14"/>
      <c r="B98" s="14"/>
      <c r="C98" s="15"/>
      <c r="D98" s="15"/>
    </row>
    <row r="99" spans="1:4" ht="15.75">
      <c r="A99" s="14"/>
      <c r="B99" s="14"/>
      <c r="C99" s="15"/>
      <c r="D99" s="15"/>
    </row>
    <row r="100" spans="1:4" ht="15.75">
      <c r="A100" s="14"/>
      <c r="B100" s="14"/>
      <c r="C100" s="15"/>
      <c r="D100" s="15"/>
    </row>
    <row r="101" spans="1:4" ht="15.75">
      <c r="A101" s="14"/>
      <c r="B101" s="14"/>
      <c r="C101" s="15"/>
      <c r="D101" s="15"/>
    </row>
    <row r="102" spans="1:4" ht="15.75">
      <c r="A102" s="14"/>
      <c r="B102" s="14"/>
      <c r="C102" s="15"/>
      <c r="D102" s="15"/>
    </row>
    <row r="103" spans="1:4" ht="15.75">
      <c r="A103" s="14"/>
      <c r="B103" s="14"/>
      <c r="C103" s="15"/>
      <c r="D103" s="15"/>
    </row>
    <row r="104" spans="1:4" ht="15.75">
      <c r="A104" s="14"/>
      <c r="B104" s="14"/>
      <c r="C104" s="15"/>
      <c r="D104" s="15"/>
    </row>
    <row r="105" spans="1:4" ht="15.75">
      <c r="A105" s="14"/>
      <c r="B105" s="14"/>
      <c r="C105" s="15"/>
      <c r="D105" s="15"/>
    </row>
    <row r="106" spans="1:4" ht="15.75">
      <c r="A106" s="14"/>
      <c r="B106" s="14"/>
      <c r="C106" s="15"/>
      <c r="D106" s="15"/>
    </row>
    <row r="107" spans="1:4" ht="15.75">
      <c r="A107" s="14"/>
      <c r="B107" s="14"/>
      <c r="C107" s="15"/>
      <c r="D107" s="15"/>
    </row>
    <row r="108" spans="1:4" ht="15.75">
      <c r="A108" s="14"/>
      <c r="B108" s="14"/>
      <c r="C108" s="15"/>
      <c r="D108" s="15"/>
    </row>
    <row r="109" spans="1:4" ht="15.75">
      <c r="A109" s="14"/>
      <c r="B109" s="14"/>
      <c r="C109" s="15"/>
      <c r="D109" s="15"/>
    </row>
    <row r="110" spans="1:4" ht="15.75">
      <c r="A110" s="14"/>
      <c r="B110" s="14"/>
      <c r="C110" s="15"/>
      <c r="D110" s="15"/>
    </row>
    <row r="111" spans="1:4" ht="15.75">
      <c r="A111" s="23"/>
      <c r="B111" s="23"/>
      <c r="C111" s="22"/>
      <c r="D111" s="22"/>
    </row>
    <row r="112" spans="1:4" ht="15.75">
      <c r="A112" s="23"/>
      <c r="B112" s="23"/>
      <c r="C112" s="6"/>
      <c r="D112" s="6"/>
    </row>
    <row r="113" spans="1:4" ht="15.75">
      <c r="A113" s="16"/>
      <c r="B113" s="16"/>
      <c r="C113" s="15"/>
      <c r="D113" s="15"/>
    </row>
  </sheetData>
  <sheetProtection/>
  <mergeCells count="16">
    <mergeCell ref="P3:P5"/>
    <mergeCell ref="A1:D1"/>
    <mergeCell ref="F2:H2"/>
    <mergeCell ref="M2:P2"/>
    <mergeCell ref="A3:A4"/>
    <mergeCell ref="B3:B5"/>
    <mergeCell ref="C3:E3"/>
    <mergeCell ref="F3:H3"/>
    <mergeCell ref="I3:K3"/>
    <mergeCell ref="A66:D66"/>
    <mergeCell ref="C4:D4"/>
    <mergeCell ref="F4:G4"/>
    <mergeCell ref="I4:J4"/>
    <mergeCell ref="M4:N4"/>
    <mergeCell ref="L3:L5"/>
    <mergeCell ref="M3:O3"/>
  </mergeCells>
  <printOptions horizontalCentered="1"/>
  <pageMargins left="0" right="0" top="0.5905511811023623" bottom="0" header="0" footer="0"/>
  <pageSetup horizontalDpi="600" verticalDpi="600" orientation="landscape" paperSize="9" scale="60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="70" zoomScaleNormal="71" zoomScaleSheetLayoutView="70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7" sqref="D47"/>
    </sheetView>
  </sheetViews>
  <sheetFormatPr defaultColWidth="9.140625" defaultRowHeight="12.75"/>
  <cols>
    <col min="1" max="1" width="30.8515625" style="8" customWidth="1"/>
    <col min="2" max="2" width="14.8515625" style="8" customWidth="1"/>
    <col min="3" max="3" width="19.8515625" style="9" customWidth="1"/>
    <col min="4" max="4" width="21.7109375" style="9" customWidth="1"/>
    <col min="5" max="5" width="20.57421875" style="7" customWidth="1"/>
    <col min="6" max="6" width="16.7109375" style="7" customWidth="1"/>
    <col min="7" max="7" width="20.421875" style="7" customWidth="1"/>
    <col min="8" max="12" width="20.00390625" style="7" customWidth="1"/>
    <col min="13" max="13" width="16.28125" style="7" customWidth="1"/>
    <col min="14" max="14" width="21.57421875" style="7" customWidth="1"/>
    <col min="15" max="15" width="17.421875" style="7" customWidth="1"/>
    <col min="16" max="16" width="16.7109375" style="7" customWidth="1"/>
    <col min="17" max="16384" width="9.140625" style="7" customWidth="1"/>
  </cols>
  <sheetData>
    <row r="1" spans="1:16" ht="15.75">
      <c r="A1" s="325"/>
      <c r="B1" s="325"/>
      <c r="C1" s="325"/>
      <c r="D1" s="3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.75" customHeight="1">
      <c r="A2" s="100"/>
      <c r="B2" s="100"/>
      <c r="C2" s="5"/>
      <c r="D2" s="5"/>
      <c r="F2" s="312"/>
      <c r="G2" s="312"/>
      <c r="H2" s="312"/>
      <c r="I2" s="99"/>
      <c r="J2" s="99"/>
      <c r="K2" s="99"/>
      <c r="L2" s="99"/>
      <c r="M2" s="312"/>
      <c r="N2" s="312"/>
      <c r="O2" s="312"/>
      <c r="P2" s="312"/>
    </row>
    <row r="3" spans="1:16" ht="62.25" customHeight="1">
      <c r="A3" s="335" t="s">
        <v>0</v>
      </c>
      <c r="B3" s="336" t="s">
        <v>52</v>
      </c>
      <c r="C3" s="332"/>
      <c r="D3" s="332"/>
      <c r="E3" s="332"/>
      <c r="F3" s="339" t="s">
        <v>63</v>
      </c>
      <c r="G3" s="339"/>
      <c r="H3" s="339"/>
      <c r="I3" s="316" t="s">
        <v>62</v>
      </c>
      <c r="J3" s="317"/>
      <c r="K3" s="318"/>
      <c r="L3" s="319" t="s">
        <v>65</v>
      </c>
      <c r="M3" s="333" t="s">
        <v>53</v>
      </c>
      <c r="N3" s="333"/>
      <c r="O3" s="333"/>
      <c r="P3" s="334" t="s">
        <v>64</v>
      </c>
    </row>
    <row r="4" spans="1:16" ht="117.75" customHeight="1">
      <c r="A4" s="335"/>
      <c r="B4" s="337"/>
      <c r="C4" s="330" t="s">
        <v>1</v>
      </c>
      <c r="D4" s="331"/>
      <c r="E4" s="102" t="s">
        <v>49</v>
      </c>
      <c r="F4" s="332" t="s">
        <v>1</v>
      </c>
      <c r="G4" s="332"/>
      <c r="H4" s="102" t="s">
        <v>49</v>
      </c>
      <c r="I4" s="311" t="s">
        <v>1</v>
      </c>
      <c r="J4" s="311"/>
      <c r="K4" s="98" t="s">
        <v>49</v>
      </c>
      <c r="L4" s="320"/>
      <c r="M4" s="332" t="s">
        <v>1</v>
      </c>
      <c r="N4" s="332"/>
      <c r="O4" s="102" t="s">
        <v>49</v>
      </c>
      <c r="P4" s="334"/>
    </row>
    <row r="5" spans="1:16" ht="125.25" customHeight="1">
      <c r="A5" s="2"/>
      <c r="B5" s="338"/>
      <c r="C5" s="1" t="s">
        <v>48</v>
      </c>
      <c r="D5" s="1" t="s">
        <v>47</v>
      </c>
      <c r="E5" s="1" t="s">
        <v>50</v>
      </c>
      <c r="F5" s="98" t="s">
        <v>48</v>
      </c>
      <c r="G5" s="98" t="s">
        <v>47</v>
      </c>
      <c r="H5" s="98" t="s">
        <v>50</v>
      </c>
      <c r="I5" s="98" t="s">
        <v>48</v>
      </c>
      <c r="J5" s="98" t="s">
        <v>47</v>
      </c>
      <c r="K5" s="98" t="s">
        <v>50</v>
      </c>
      <c r="L5" s="321"/>
      <c r="M5" s="98" t="s">
        <v>48</v>
      </c>
      <c r="N5" s="98" t="s">
        <v>47</v>
      </c>
      <c r="O5" s="98" t="s">
        <v>50</v>
      </c>
      <c r="P5" s="334"/>
    </row>
    <row r="6" spans="1:16" s="56" customFormat="1" ht="23.25" customHeight="1">
      <c r="A6" s="53" t="s">
        <v>2</v>
      </c>
      <c r="B6" s="34">
        <v>12</v>
      </c>
      <c r="C6" s="63"/>
      <c r="D6" s="63">
        <v>103</v>
      </c>
      <c r="E6" s="64"/>
      <c r="F6" s="57"/>
      <c r="G6" s="28">
        <v>6000</v>
      </c>
      <c r="H6" s="57"/>
      <c r="I6" s="55"/>
      <c r="J6" s="55">
        <v>1</v>
      </c>
      <c r="K6" s="55"/>
      <c r="L6" s="121">
        <v>0.203</v>
      </c>
      <c r="M6" s="58">
        <f>ROUND(C6*F6*I6*L6/1000,1)</f>
        <v>0</v>
      </c>
      <c r="N6" s="58">
        <f>ROUND(D6*G6*J6*L6/1000,1)+0.2</f>
        <v>125.7</v>
      </c>
      <c r="O6" s="58">
        <f>ROUND(E6*H6*K6*L6/1000,1)</f>
        <v>0</v>
      </c>
      <c r="P6" s="58">
        <f>SUM(M6:O6)</f>
        <v>125.7</v>
      </c>
    </row>
    <row r="7" spans="1:16" ht="15.75">
      <c r="A7" s="10" t="s">
        <v>3</v>
      </c>
      <c r="B7" s="34">
        <v>12</v>
      </c>
      <c r="C7" s="65">
        <v>25</v>
      </c>
      <c r="D7" s="65">
        <v>104</v>
      </c>
      <c r="E7" s="66"/>
      <c r="F7" s="28">
        <v>4500</v>
      </c>
      <c r="G7" s="28">
        <v>6000</v>
      </c>
      <c r="H7" s="28"/>
      <c r="I7" s="55">
        <v>1</v>
      </c>
      <c r="J7" s="55">
        <v>1</v>
      </c>
      <c r="K7" s="55"/>
      <c r="L7" s="80">
        <v>0.175</v>
      </c>
      <c r="M7" s="30">
        <f aca="true" t="shared" si="0" ref="M7:M50">ROUND(C7*F7*I7*L7/1000,1)</f>
        <v>19.7</v>
      </c>
      <c r="N7" s="30">
        <f aca="true" t="shared" si="1" ref="N7:N50">ROUND(D7*G7*J7*L7/1000,1)</f>
        <v>109.2</v>
      </c>
      <c r="O7" s="30">
        <f aca="true" t="shared" si="2" ref="O7:O50">ROUND(E7*H7*K7*L7/1000,1)</f>
        <v>0</v>
      </c>
      <c r="P7" s="30">
        <f aca="true" t="shared" si="3" ref="P7:P50">SUM(M7:O7)</f>
        <v>128.9</v>
      </c>
    </row>
    <row r="8" spans="1:16" ht="15.75">
      <c r="A8" s="10" t="s">
        <v>4</v>
      </c>
      <c r="B8" s="34">
        <v>12</v>
      </c>
      <c r="C8" s="65">
        <v>20</v>
      </c>
      <c r="D8" s="65">
        <v>122</v>
      </c>
      <c r="E8" s="64"/>
      <c r="F8" s="28">
        <v>4500</v>
      </c>
      <c r="G8" s="28">
        <v>6000</v>
      </c>
      <c r="H8" s="28"/>
      <c r="I8" s="55">
        <v>1</v>
      </c>
      <c r="J8" s="55">
        <v>1.02</v>
      </c>
      <c r="K8" s="55"/>
      <c r="L8" s="80">
        <v>0.16</v>
      </c>
      <c r="M8" s="30">
        <f t="shared" si="0"/>
        <v>14.4</v>
      </c>
      <c r="N8" s="30">
        <f t="shared" si="1"/>
        <v>119.5</v>
      </c>
      <c r="O8" s="30">
        <f t="shared" si="2"/>
        <v>0</v>
      </c>
      <c r="P8" s="30">
        <f t="shared" si="3"/>
        <v>133.9</v>
      </c>
    </row>
    <row r="9" spans="1:16" ht="15.75">
      <c r="A9" s="10" t="s">
        <v>5</v>
      </c>
      <c r="B9" s="34">
        <v>12</v>
      </c>
      <c r="C9" s="65">
        <v>45</v>
      </c>
      <c r="D9" s="65">
        <v>155</v>
      </c>
      <c r="E9" s="64">
        <v>43</v>
      </c>
      <c r="F9" s="28">
        <v>4500</v>
      </c>
      <c r="G9" s="28">
        <v>6000</v>
      </c>
      <c r="H9" s="28">
        <v>6000</v>
      </c>
      <c r="I9" s="55">
        <v>1</v>
      </c>
      <c r="J9" s="55">
        <v>1</v>
      </c>
      <c r="K9" s="55">
        <v>1.05</v>
      </c>
      <c r="L9" s="80">
        <v>0.19</v>
      </c>
      <c r="M9" s="30">
        <f t="shared" si="0"/>
        <v>38.5</v>
      </c>
      <c r="N9" s="30">
        <f t="shared" si="1"/>
        <v>176.7</v>
      </c>
      <c r="O9" s="30">
        <f t="shared" si="2"/>
        <v>51.5</v>
      </c>
      <c r="P9" s="30">
        <f t="shared" si="3"/>
        <v>266.7</v>
      </c>
    </row>
    <row r="10" spans="1:16" ht="15.75">
      <c r="A10" s="10" t="s">
        <v>6</v>
      </c>
      <c r="B10" s="34">
        <v>12</v>
      </c>
      <c r="C10" s="65">
        <v>75</v>
      </c>
      <c r="D10" s="65">
        <v>173</v>
      </c>
      <c r="E10" s="64">
        <v>28</v>
      </c>
      <c r="F10" s="28">
        <v>4500</v>
      </c>
      <c r="G10" s="28">
        <v>6000</v>
      </c>
      <c r="H10" s="28">
        <v>6000</v>
      </c>
      <c r="I10" s="55">
        <v>1</v>
      </c>
      <c r="J10" s="55">
        <v>1.01</v>
      </c>
      <c r="K10" s="55">
        <v>1.07</v>
      </c>
      <c r="L10" s="80">
        <v>0.14</v>
      </c>
      <c r="M10" s="30">
        <f t="shared" si="0"/>
        <v>47.3</v>
      </c>
      <c r="N10" s="30">
        <f>ROUND(D10*G10*J10*L10/1000,1)+1.2</f>
        <v>148</v>
      </c>
      <c r="O10" s="30">
        <f t="shared" si="2"/>
        <v>25.2</v>
      </c>
      <c r="P10" s="30">
        <f t="shared" si="3"/>
        <v>220.5</v>
      </c>
    </row>
    <row r="11" spans="1:16" ht="15.75">
      <c r="A11" s="10" t="s">
        <v>7</v>
      </c>
      <c r="B11" s="34">
        <v>12</v>
      </c>
      <c r="C11" s="65"/>
      <c r="D11" s="65">
        <v>160</v>
      </c>
      <c r="E11" s="66"/>
      <c r="F11" s="28"/>
      <c r="G11" s="28">
        <v>6000</v>
      </c>
      <c r="H11" s="28"/>
      <c r="I11" s="55"/>
      <c r="J11" s="55">
        <v>1</v>
      </c>
      <c r="K11" s="55"/>
      <c r="L11" s="80">
        <v>0.12</v>
      </c>
      <c r="M11" s="30">
        <f t="shared" si="0"/>
        <v>0</v>
      </c>
      <c r="N11" s="30">
        <f t="shared" si="1"/>
        <v>115.2</v>
      </c>
      <c r="O11" s="30">
        <f t="shared" si="2"/>
        <v>0</v>
      </c>
      <c r="P11" s="30">
        <f t="shared" si="3"/>
        <v>115.2</v>
      </c>
    </row>
    <row r="12" spans="1:16" ht="15.75">
      <c r="A12" s="10" t="s">
        <v>8</v>
      </c>
      <c r="B12" s="34">
        <v>12</v>
      </c>
      <c r="C12" s="65">
        <v>25</v>
      </c>
      <c r="D12" s="65">
        <v>190</v>
      </c>
      <c r="E12" s="64">
        <v>45</v>
      </c>
      <c r="F12" s="28">
        <v>4500</v>
      </c>
      <c r="G12" s="28">
        <v>6000</v>
      </c>
      <c r="H12" s="28">
        <v>6000</v>
      </c>
      <c r="I12" s="55">
        <v>1</v>
      </c>
      <c r="J12" s="55">
        <v>1.05</v>
      </c>
      <c r="K12" s="55">
        <v>1</v>
      </c>
      <c r="L12" s="80">
        <v>0.16</v>
      </c>
      <c r="M12" s="30">
        <f t="shared" si="0"/>
        <v>18</v>
      </c>
      <c r="N12" s="30">
        <f t="shared" si="1"/>
        <v>191.5</v>
      </c>
      <c r="O12" s="30">
        <f t="shared" si="2"/>
        <v>43.2</v>
      </c>
      <c r="P12" s="30">
        <f t="shared" si="3"/>
        <v>252.7</v>
      </c>
    </row>
    <row r="13" spans="1:16" ht="15.75">
      <c r="A13" s="10" t="s">
        <v>9</v>
      </c>
      <c r="B13" s="34">
        <v>12</v>
      </c>
      <c r="C13" s="65">
        <v>44</v>
      </c>
      <c r="D13" s="65">
        <v>181</v>
      </c>
      <c r="E13" s="64">
        <v>45</v>
      </c>
      <c r="F13" s="28">
        <v>4500</v>
      </c>
      <c r="G13" s="28">
        <v>6000</v>
      </c>
      <c r="H13" s="28">
        <v>6000</v>
      </c>
      <c r="I13" s="55">
        <v>1</v>
      </c>
      <c r="J13" s="55">
        <v>1</v>
      </c>
      <c r="K13" s="55">
        <v>1</v>
      </c>
      <c r="L13" s="80">
        <v>0.15</v>
      </c>
      <c r="M13" s="30">
        <f t="shared" si="0"/>
        <v>29.7</v>
      </c>
      <c r="N13" s="30">
        <f t="shared" si="1"/>
        <v>162.9</v>
      </c>
      <c r="O13" s="30">
        <f t="shared" si="2"/>
        <v>40.5</v>
      </c>
      <c r="P13" s="30">
        <f t="shared" si="3"/>
        <v>233.1</v>
      </c>
    </row>
    <row r="14" spans="1:16" ht="15.75">
      <c r="A14" s="10" t="s">
        <v>10</v>
      </c>
      <c r="B14" s="34">
        <v>12</v>
      </c>
      <c r="C14" s="65">
        <v>41</v>
      </c>
      <c r="D14" s="65">
        <v>145</v>
      </c>
      <c r="E14" s="64">
        <v>37</v>
      </c>
      <c r="F14" s="28">
        <v>4500</v>
      </c>
      <c r="G14" s="28">
        <v>6000</v>
      </c>
      <c r="H14" s="28">
        <v>6000</v>
      </c>
      <c r="I14" s="55">
        <v>1</v>
      </c>
      <c r="J14" s="55">
        <v>1.03</v>
      </c>
      <c r="K14" s="55">
        <v>1</v>
      </c>
      <c r="L14" s="80">
        <v>0.15</v>
      </c>
      <c r="M14" s="30">
        <f t="shared" si="0"/>
        <v>27.7</v>
      </c>
      <c r="N14" s="30">
        <f t="shared" si="1"/>
        <v>134.4</v>
      </c>
      <c r="O14" s="30">
        <f t="shared" si="2"/>
        <v>33.3</v>
      </c>
      <c r="P14" s="30">
        <f t="shared" si="3"/>
        <v>195.39999999999998</v>
      </c>
    </row>
    <row r="15" spans="1:16" ht="15.75">
      <c r="A15" s="10" t="s">
        <v>11</v>
      </c>
      <c r="B15" s="34">
        <v>12</v>
      </c>
      <c r="C15" s="65">
        <v>45</v>
      </c>
      <c r="D15" s="65">
        <v>159</v>
      </c>
      <c r="E15" s="64">
        <v>30</v>
      </c>
      <c r="F15" s="28">
        <v>4500</v>
      </c>
      <c r="G15" s="28">
        <v>6000</v>
      </c>
      <c r="H15" s="28">
        <v>6000</v>
      </c>
      <c r="I15" s="55">
        <v>1</v>
      </c>
      <c r="J15" s="55">
        <v>1</v>
      </c>
      <c r="K15" s="55">
        <v>1</v>
      </c>
      <c r="L15" s="80">
        <v>0.22</v>
      </c>
      <c r="M15" s="30">
        <f t="shared" si="0"/>
        <v>44.6</v>
      </c>
      <c r="N15" s="30">
        <f t="shared" si="1"/>
        <v>209.9</v>
      </c>
      <c r="O15" s="30">
        <f t="shared" si="2"/>
        <v>39.6</v>
      </c>
      <c r="P15" s="30">
        <f t="shared" si="3"/>
        <v>294.1</v>
      </c>
    </row>
    <row r="16" spans="1:16" ht="15.75">
      <c r="A16" s="11" t="s">
        <v>12</v>
      </c>
      <c r="B16" s="34">
        <v>12</v>
      </c>
      <c r="C16" s="67">
        <v>22</v>
      </c>
      <c r="D16" s="67">
        <v>51</v>
      </c>
      <c r="E16" s="68">
        <v>16</v>
      </c>
      <c r="F16" s="28">
        <v>4500</v>
      </c>
      <c r="G16" s="28">
        <v>6000</v>
      </c>
      <c r="H16" s="28">
        <v>6000</v>
      </c>
      <c r="I16" s="55">
        <v>1</v>
      </c>
      <c r="J16" s="55">
        <v>1</v>
      </c>
      <c r="K16" s="55">
        <v>1</v>
      </c>
      <c r="L16" s="80">
        <v>0.25</v>
      </c>
      <c r="M16" s="30">
        <f t="shared" si="0"/>
        <v>24.8</v>
      </c>
      <c r="N16" s="30">
        <f t="shared" si="1"/>
        <v>76.5</v>
      </c>
      <c r="O16" s="30">
        <f t="shared" si="2"/>
        <v>24</v>
      </c>
      <c r="P16" s="30">
        <f t="shared" si="3"/>
        <v>125.3</v>
      </c>
    </row>
    <row r="17" spans="1:16" ht="15.75">
      <c r="A17" s="10" t="s">
        <v>26</v>
      </c>
      <c r="B17" s="35">
        <v>10</v>
      </c>
      <c r="C17" s="65"/>
      <c r="D17" s="65">
        <v>26</v>
      </c>
      <c r="E17" s="66"/>
      <c r="F17" s="28"/>
      <c r="G17" s="28">
        <v>6000</v>
      </c>
      <c r="H17" s="28"/>
      <c r="I17" s="55"/>
      <c r="J17" s="55">
        <v>1</v>
      </c>
      <c r="K17" s="55"/>
      <c r="L17" s="80">
        <v>0.218</v>
      </c>
      <c r="M17" s="30">
        <f t="shared" si="0"/>
        <v>0</v>
      </c>
      <c r="N17" s="30">
        <f t="shared" si="1"/>
        <v>34</v>
      </c>
      <c r="O17" s="30">
        <f t="shared" si="2"/>
        <v>0</v>
      </c>
      <c r="P17" s="30">
        <f t="shared" si="3"/>
        <v>34</v>
      </c>
    </row>
    <row r="18" spans="1:16" ht="15.75">
      <c r="A18" s="10" t="s">
        <v>25</v>
      </c>
      <c r="B18" s="35">
        <v>10</v>
      </c>
      <c r="C18" s="65"/>
      <c r="D18" s="65">
        <v>25</v>
      </c>
      <c r="E18" s="64"/>
      <c r="F18" s="28"/>
      <c r="G18" s="28">
        <v>6000</v>
      </c>
      <c r="H18" s="28"/>
      <c r="I18" s="55"/>
      <c r="J18" s="55">
        <v>1</v>
      </c>
      <c r="K18" s="55"/>
      <c r="L18" s="80">
        <v>0.25</v>
      </c>
      <c r="M18" s="30">
        <f t="shared" si="0"/>
        <v>0</v>
      </c>
      <c r="N18" s="30">
        <f t="shared" si="1"/>
        <v>37.5</v>
      </c>
      <c r="O18" s="30">
        <f t="shared" si="2"/>
        <v>0</v>
      </c>
      <c r="P18" s="30">
        <f t="shared" si="3"/>
        <v>37.5</v>
      </c>
    </row>
    <row r="19" spans="1:16" ht="15.75">
      <c r="A19" s="10" t="s">
        <v>13</v>
      </c>
      <c r="B19" s="35">
        <v>10</v>
      </c>
      <c r="C19" s="65"/>
      <c r="D19" s="65">
        <v>86</v>
      </c>
      <c r="E19" s="64"/>
      <c r="F19" s="28"/>
      <c r="G19" s="28">
        <v>6000</v>
      </c>
      <c r="H19" s="28"/>
      <c r="I19" s="55"/>
      <c r="J19" s="55">
        <v>1</v>
      </c>
      <c r="K19" s="55"/>
      <c r="L19" s="80">
        <v>0.095</v>
      </c>
      <c r="M19" s="30">
        <f t="shared" si="0"/>
        <v>0</v>
      </c>
      <c r="N19" s="30">
        <f t="shared" si="1"/>
        <v>49</v>
      </c>
      <c r="O19" s="30">
        <f t="shared" si="2"/>
        <v>0</v>
      </c>
      <c r="P19" s="30">
        <f t="shared" si="3"/>
        <v>49</v>
      </c>
    </row>
    <row r="20" spans="1:16" ht="15.75">
      <c r="A20" s="10" t="s">
        <v>14</v>
      </c>
      <c r="B20" s="35">
        <v>10</v>
      </c>
      <c r="C20" s="65"/>
      <c r="D20" s="65">
        <v>45</v>
      </c>
      <c r="E20" s="64"/>
      <c r="F20" s="28"/>
      <c r="G20" s="28">
        <v>6000</v>
      </c>
      <c r="H20" s="28"/>
      <c r="I20" s="55"/>
      <c r="J20" s="55">
        <v>1.11</v>
      </c>
      <c r="K20" s="55"/>
      <c r="L20" s="80">
        <v>0.1</v>
      </c>
      <c r="M20" s="30">
        <f t="shared" si="0"/>
        <v>0</v>
      </c>
      <c r="N20" s="30">
        <f t="shared" si="1"/>
        <v>30</v>
      </c>
      <c r="O20" s="30">
        <f t="shared" si="2"/>
        <v>0</v>
      </c>
      <c r="P20" s="30">
        <f t="shared" si="3"/>
        <v>30</v>
      </c>
    </row>
    <row r="21" spans="1:16" ht="15.75">
      <c r="A21" s="10" t="s">
        <v>15</v>
      </c>
      <c r="B21" s="35">
        <v>10</v>
      </c>
      <c r="C21" s="65"/>
      <c r="D21" s="65">
        <v>50</v>
      </c>
      <c r="E21" s="64"/>
      <c r="F21" s="28"/>
      <c r="G21" s="28">
        <v>6000</v>
      </c>
      <c r="H21" s="28"/>
      <c r="I21" s="55"/>
      <c r="J21" s="55">
        <v>1</v>
      </c>
      <c r="K21" s="55"/>
      <c r="L21" s="80">
        <v>0.172</v>
      </c>
      <c r="M21" s="30">
        <f t="shared" si="0"/>
        <v>0</v>
      </c>
      <c r="N21" s="30">
        <f t="shared" si="1"/>
        <v>51.6</v>
      </c>
      <c r="O21" s="30">
        <f t="shared" si="2"/>
        <v>0</v>
      </c>
      <c r="P21" s="30">
        <f t="shared" si="3"/>
        <v>51.6</v>
      </c>
    </row>
    <row r="22" spans="1:16" s="12" customFormat="1" ht="16.5" customHeight="1">
      <c r="A22" s="11" t="s">
        <v>16</v>
      </c>
      <c r="B22" s="36">
        <v>10</v>
      </c>
      <c r="C22" s="65"/>
      <c r="D22" s="65">
        <v>64</v>
      </c>
      <c r="E22" s="64"/>
      <c r="F22" s="28"/>
      <c r="G22" s="28">
        <v>6000</v>
      </c>
      <c r="H22" s="29"/>
      <c r="I22" s="55"/>
      <c r="J22" s="55">
        <v>1</v>
      </c>
      <c r="K22" s="55"/>
      <c r="L22" s="80">
        <v>0.125</v>
      </c>
      <c r="M22" s="30">
        <f t="shared" si="0"/>
        <v>0</v>
      </c>
      <c r="N22" s="30">
        <f t="shared" si="1"/>
        <v>48</v>
      </c>
      <c r="O22" s="30">
        <f t="shared" si="2"/>
        <v>0</v>
      </c>
      <c r="P22" s="30">
        <f t="shared" si="3"/>
        <v>48</v>
      </c>
    </row>
    <row r="23" spans="1:16" ht="19.5" customHeight="1">
      <c r="A23" s="10" t="s">
        <v>27</v>
      </c>
      <c r="B23" s="35">
        <v>9</v>
      </c>
      <c r="C23" s="65"/>
      <c r="D23" s="65">
        <v>18</v>
      </c>
      <c r="E23" s="69"/>
      <c r="F23" s="28"/>
      <c r="G23" s="28">
        <v>6000</v>
      </c>
      <c r="H23" s="28"/>
      <c r="I23" s="55"/>
      <c r="J23" s="55">
        <v>1.39</v>
      </c>
      <c r="K23" s="55"/>
      <c r="L23" s="80">
        <v>0.125</v>
      </c>
      <c r="M23" s="30">
        <f t="shared" si="0"/>
        <v>0</v>
      </c>
      <c r="N23" s="30">
        <f t="shared" si="1"/>
        <v>18.8</v>
      </c>
      <c r="O23" s="30">
        <f t="shared" si="2"/>
        <v>0</v>
      </c>
      <c r="P23" s="30">
        <f t="shared" si="3"/>
        <v>18.8</v>
      </c>
    </row>
    <row r="24" spans="1:16" ht="19.5" customHeight="1">
      <c r="A24" s="10" t="s">
        <v>28</v>
      </c>
      <c r="B24" s="35">
        <v>9</v>
      </c>
      <c r="C24" s="65"/>
      <c r="D24" s="65">
        <v>8</v>
      </c>
      <c r="E24" s="64"/>
      <c r="F24" s="28"/>
      <c r="G24" s="28">
        <v>6000</v>
      </c>
      <c r="H24" s="28"/>
      <c r="I24" s="55"/>
      <c r="J24" s="55">
        <v>3.12</v>
      </c>
      <c r="K24" s="55"/>
      <c r="L24" s="80">
        <v>0.16</v>
      </c>
      <c r="M24" s="30">
        <f t="shared" si="0"/>
        <v>0</v>
      </c>
      <c r="N24" s="30">
        <f t="shared" si="1"/>
        <v>24</v>
      </c>
      <c r="O24" s="30">
        <f t="shared" si="2"/>
        <v>0</v>
      </c>
      <c r="P24" s="30">
        <f t="shared" si="3"/>
        <v>24</v>
      </c>
    </row>
    <row r="25" spans="1:16" ht="19.5" customHeight="1">
      <c r="A25" s="10" t="s">
        <v>29</v>
      </c>
      <c r="B25" s="35">
        <v>9</v>
      </c>
      <c r="C25" s="65"/>
      <c r="D25" s="65">
        <v>12</v>
      </c>
      <c r="E25" s="64"/>
      <c r="F25" s="28"/>
      <c r="G25" s="28">
        <v>6000</v>
      </c>
      <c r="H25" s="28"/>
      <c r="I25" s="55"/>
      <c r="J25" s="55">
        <v>2.08</v>
      </c>
      <c r="K25" s="55"/>
      <c r="L25" s="80">
        <v>0.21</v>
      </c>
      <c r="M25" s="30">
        <f t="shared" si="0"/>
        <v>0</v>
      </c>
      <c r="N25" s="30">
        <f t="shared" si="1"/>
        <v>31.4</v>
      </c>
      <c r="O25" s="30">
        <f t="shared" si="2"/>
        <v>0</v>
      </c>
      <c r="P25" s="30">
        <f t="shared" si="3"/>
        <v>31.4</v>
      </c>
    </row>
    <row r="26" spans="1:16" ht="27.75" customHeight="1">
      <c r="A26" s="10" t="s">
        <v>30</v>
      </c>
      <c r="B26" s="35">
        <v>10</v>
      </c>
      <c r="C26" s="65"/>
      <c r="D26" s="65">
        <v>27</v>
      </c>
      <c r="E26" s="64"/>
      <c r="F26" s="28"/>
      <c r="G26" s="28">
        <v>6000</v>
      </c>
      <c r="H26" s="28"/>
      <c r="I26" s="55"/>
      <c r="J26" s="55">
        <v>1</v>
      </c>
      <c r="K26" s="55"/>
      <c r="L26" s="80">
        <v>0.2</v>
      </c>
      <c r="M26" s="30">
        <f t="shared" si="0"/>
        <v>0</v>
      </c>
      <c r="N26" s="30">
        <f t="shared" si="1"/>
        <v>32.4</v>
      </c>
      <c r="O26" s="30">
        <f t="shared" si="2"/>
        <v>0</v>
      </c>
      <c r="P26" s="30">
        <f t="shared" si="3"/>
        <v>32.4</v>
      </c>
    </row>
    <row r="27" spans="1:16" ht="22.5" customHeight="1">
      <c r="A27" s="10" t="s">
        <v>17</v>
      </c>
      <c r="B27" s="37">
        <v>10</v>
      </c>
      <c r="C27" s="63"/>
      <c r="D27" s="63">
        <v>95</v>
      </c>
      <c r="E27" s="64"/>
      <c r="F27" s="28"/>
      <c r="G27" s="28">
        <v>6000</v>
      </c>
      <c r="H27" s="28"/>
      <c r="I27" s="55"/>
      <c r="J27" s="55">
        <v>1.05</v>
      </c>
      <c r="K27" s="55"/>
      <c r="L27" s="80">
        <v>0.12</v>
      </c>
      <c r="M27" s="30">
        <f t="shared" si="0"/>
        <v>0</v>
      </c>
      <c r="N27" s="30">
        <f t="shared" si="1"/>
        <v>71.8</v>
      </c>
      <c r="O27" s="30">
        <f t="shared" si="2"/>
        <v>0</v>
      </c>
      <c r="P27" s="30">
        <f t="shared" si="3"/>
        <v>71.8</v>
      </c>
    </row>
    <row r="28" spans="1:16" ht="18.75" customHeight="1">
      <c r="A28" s="10" t="s">
        <v>18</v>
      </c>
      <c r="B28" s="35">
        <v>10</v>
      </c>
      <c r="C28" s="65"/>
      <c r="D28" s="65">
        <v>74</v>
      </c>
      <c r="E28" s="64">
        <v>17</v>
      </c>
      <c r="F28" s="28"/>
      <c r="G28" s="28">
        <v>6000</v>
      </c>
      <c r="H28" s="28">
        <v>6000</v>
      </c>
      <c r="I28" s="55"/>
      <c r="J28" s="55">
        <v>1.01</v>
      </c>
      <c r="K28" s="55">
        <v>1</v>
      </c>
      <c r="L28" s="80">
        <v>0.161</v>
      </c>
      <c r="M28" s="30">
        <f t="shared" si="0"/>
        <v>0</v>
      </c>
      <c r="N28" s="30">
        <f t="shared" si="1"/>
        <v>72.2</v>
      </c>
      <c r="O28" s="30">
        <f t="shared" si="2"/>
        <v>16.4</v>
      </c>
      <c r="P28" s="30">
        <f t="shared" si="3"/>
        <v>88.6</v>
      </c>
    </row>
    <row r="29" spans="1:16" s="12" customFormat="1" ht="25.5" customHeight="1">
      <c r="A29" s="11" t="s">
        <v>19</v>
      </c>
      <c r="B29" s="36">
        <v>10</v>
      </c>
      <c r="C29" s="65">
        <v>21</v>
      </c>
      <c r="D29" s="65">
        <v>52</v>
      </c>
      <c r="E29" s="69">
        <v>44</v>
      </c>
      <c r="F29" s="28">
        <v>4500</v>
      </c>
      <c r="G29" s="28">
        <v>6000</v>
      </c>
      <c r="H29" s="28">
        <v>6000</v>
      </c>
      <c r="I29" s="55">
        <v>1</v>
      </c>
      <c r="J29" s="55">
        <v>1</v>
      </c>
      <c r="K29" s="55">
        <v>1</v>
      </c>
      <c r="L29" s="80">
        <v>0.141</v>
      </c>
      <c r="M29" s="30">
        <f t="shared" si="0"/>
        <v>13.3</v>
      </c>
      <c r="N29" s="30">
        <f t="shared" si="1"/>
        <v>44</v>
      </c>
      <c r="O29" s="30">
        <f t="shared" si="2"/>
        <v>37.2</v>
      </c>
      <c r="P29" s="30">
        <f t="shared" si="3"/>
        <v>94.5</v>
      </c>
    </row>
    <row r="30" spans="1:16" ht="15.75">
      <c r="A30" s="10" t="s">
        <v>20</v>
      </c>
      <c r="B30" s="35">
        <v>10</v>
      </c>
      <c r="C30" s="65">
        <v>18</v>
      </c>
      <c r="D30" s="65">
        <v>119</v>
      </c>
      <c r="E30" s="66"/>
      <c r="F30" s="28">
        <v>4500</v>
      </c>
      <c r="G30" s="28">
        <v>6000</v>
      </c>
      <c r="H30" s="28"/>
      <c r="I30" s="55">
        <v>1.11</v>
      </c>
      <c r="J30" s="55">
        <v>1</v>
      </c>
      <c r="K30" s="55"/>
      <c r="L30" s="80">
        <v>0.115</v>
      </c>
      <c r="M30" s="30">
        <f t="shared" si="0"/>
        <v>10.3</v>
      </c>
      <c r="N30" s="30">
        <f t="shared" si="1"/>
        <v>82.1</v>
      </c>
      <c r="O30" s="30">
        <f t="shared" si="2"/>
        <v>0</v>
      </c>
      <c r="P30" s="30">
        <f t="shared" si="3"/>
        <v>92.39999999999999</v>
      </c>
    </row>
    <row r="31" spans="1:16" ht="15.75">
      <c r="A31" s="10" t="s">
        <v>21</v>
      </c>
      <c r="B31" s="35">
        <v>10</v>
      </c>
      <c r="C31" s="65">
        <v>24</v>
      </c>
      <c r="D31" s="65">
        <v>112</v>
      </c>
      <c r="E31" s="66"/>
      <c r="F31" s="28">
        <v>4500</v>
      </c>
      <c r="G31" s="28">
        <v>6000</v>
      </c>
      <c r="H31" s="28"/>
      <c r="I31" s="55">
        <v>1</v>
      </c>
      <c r="J31" s="55">
        <v>1.12</v>
      </c>
      <c r="K31" s="55"/>
      <c r="L31" s="80">
        <v>0.077</v>
      </c>
      <c r="M31" s="30">
        <f t="shared" si="0"/>
        <v>8.3</v>
      </c>
      <c r="N31" s="30">
        <f t="shared" si="1"/>
        <v>58</v>
      </c>
      <c r="O31" s="30">
        <f t="shared" si="2"/>
        <v>0</v>
      </c>
      <c r="P31" s="30">
        <f t="shared" si="3"/>
        <v>66.3</v>
      </c>
    </row>
    <row r="32" spans="1:16" ht="20.25" customHeight="1">
      <c r="A32" s="10" t="s">
        <v>31</v>
      </c>
      <c r="B32" s="35">
        <v>10</v>
      </c>
      <c r="C32" s="65"/>
      <c r="D32" s="65">
        <v>20</v>
      </c>
      <c r="E32" s="66"/>
      <c r="F32" s="28"/>
      <c r="G32" s="28">
        <v>6000</v>
      </c>
      <c r="H32" s="28"/>
      <c r="I32" s="55"/>
      <c r="J32" s="55">
        <v>1.25</v>
      </c>
      <c r="K32" s="55"/>
      <c r="L32" s="80">
        <v>0.17</v>
      </c>
      <c r="M32" s="30">
        <f t="shared" si="0"/>
        <v>0</v>
      </c>
      <c r="N32" s="30">
        <f t="shared" si="1"/>
        <v>25.5</v>
      </c>
      <c r="O32" s="30">
        <f t="shared" si="2"/>
        <v>0</v>
      </c>
      <c r="P32" s="30">
        <f t="shared" si="3"/>
        <v>25.5</v>
      </c>
    </row>
    <row r="33" spans="1:16" ht="15.75">
      <c r="A33" s="10" t="s">
        <v>32</v>
      </c>
      <c r="B33" s="35">
        <v>10</v>
      </c>
      <c r="C33" s="65"/>
      <c r="D33" s="65">
        <v>18</v>
      </c>
      <c r="E33" s="66"/>
      <c r="F33" s="28"/>
      <c r="G33" s="28">
        <v>6000</v>
      </c>
      <c r="H33" s="28"/>
      <c r="I33" s="55"/>
      <c r="J33" s="55">
        <v>1.39</v>
      </c>
      <c r="K33" s="55"/>
      <c r="L33" s="80">
        <v>0.2</v>
      </c>
      <c r="M33" s="30">
        <f t="shared" si="0"/>
        <v>0</v>
      </c>
      <c r="N33" s="30">
        <f t="shared" si="1"/>
        <v>30</v>
      </c>
      <c r="O33" s="30">
        <f t="shared" si="2"/>
        <v>0</v>
      </c>
      <c r="P33" s="30">
        <f t="shared" si="3"/>
        <v>30</v>
      </c>
    </row>
    <row r="34" spans="1:16" ht="21" customHeight="1">
      <c r="A34" s="10" t="s">
        <v>22</v>
      </c>
      <c r="B34" s="35">
        <v>10</v>
      </c>
      <c r="C34" s="65"/>
      <c r="D34" s="65">
        <v>62</v>
      </c>
      <c r="E34" s="66"/>
      <c r="F34" s="28"/>
      <c r="G34" s="28">
        <v>6000</v>
      </c>
      <c r="H34" s="28"/>
      <c r="I34" s="55"/>
      <c r="J34" s="55">
        <v>1</v>
      </c>
      <c r="K34" s="55"/>
      <c r="L34" s="80">
        <v>0.122</v>
      </c>
      <c r="M34" s="30">
        <f t="shared" si="0"/>
        <v>0</v>
      </c>
      <c r="N34" s="30">
        <f t="shared" si="1"/>
        <v>45.4</v>
      </c>
      <c r="O34" s="30">
        <f t="shared" si="2"/>
        <v>0</v>
      </c>
      <c r="P34" s="30">
        <f t="shared" si="3"/>
        <v>45.4</v>
      </c>
    </row>
    <row r="35" spans="1:16" ht="21" customHeight="1">
      <c r="A35" s="10" t="s">
        <v>33</v>
      </c>
      <c r="B35" s="35">
        <v>9</v>
      </c>
      <c r="C35" s="65"/>
      <c r="D35" s="65">
        <v>12</v>
      </c>
      <c r="E35" s="66"/>
      <c r="F35" s="28"/>
      <c r="G35" s="28">
        <v>6000</v>
      </c>
      <c r="H35" s="28"/>
      <c r="I35" s="55"/>
      <c r="J35" s="55">
        <v>2.08</v>
      </c>
      <c r="K35" s="55"/>
      <c r="L35" s="80">
        <v>0.155</v>
      </c>
      <c r="M35" s="30">
        <f t="shared" si="0"/>
        <v>0</v>
      </c>
      <c r="N35" s="30">
        <f t="shared" si="1"/>
        <v>23.2</v>
      </c>
      <c r="O35" s="30">
        <f t="shared" si="2"/>
        <v>0</v>
      </c>
      <c r="P35" s="30">
        <f t="shared" si="3"/>
        <v>23.2</v>
      </c>
    </row>
    <row r="36" spans="1:16" ht="15.75">
      <c r="A36" s="10" t="s">
        <v>34</v>
      </c>
      <c r="B36" s="35">
        <v>10</v>
      </c>
      <c r="C36" s="65"/>
      <c r="D36" s="65">
        <v>31</v>
      </c>
      <c r="E36" s="66"/>
      <c r="F36" s="28"/>
      <c r="G36" s="28">
        <v>6000</v>
      </c>
      <c r="H36" s="28"/>
      <c r="I36" s="55"/>
      <c r="J36" s="55">
        <v>1.61</v>
      </c>
      <c r="K36" s="55"/>
      <c r="L36" s="80">
        <v>0.115</v>
      </c>
      <c r="M36" s="30">
        <f t="shared" si="0"/>
        <v>0</v>
      </c>
      <c r="N36" s="30">
        <f t="shared" si="1"/>
        <v>34.4</v>
      </c>
      <c r="O36" s="30">
        <f t="shared" si="2"/>
        <v>0</v>
      </c>
      <c r="P36" s="30">
        <f t="shared" si="3"/>
        <v>34.4</v>
      </c>
    </row>
    <row r="37" spans="1:16" ht="15.75">
      <c r="A37" s="10" t="s">
        <v>35</v>
      </c>
      <c r="B37" s="35">
        <v>10</v>
      </c>
      <c r="C37" s="65"/>
      <c r="D37" s="65">
        <v>26</v>
      </c>
      <c r="E37" s="66"/>
      <c r="F37" s="28"/>
      <c r="G37" s="28">
        <v>6000</v>
      </c>
      <c r="H37" s="28"/>
      <c r="I37" s="55"/>
      <c r="J37" s="55">
        <v>1</v>
      </c>
      <c r="K37" s="55"/>
      <c r="L37" s="80">
        <v>0.215</v>
      </c>
      <c r="M37" s="30">
        <f t="shared" si="0"/>
        <v>0</v>
      </c>
      <c r="N37" s="30">
        <f t="shared" si="1"/>
        <v>33.5</v>
      </c>
      <c r="O37" s="30">
        <f t="shared" si="2"/>
        <v>0</v>
      </c>
      <c r="P37" s="30">
        <f t="shared" si="3"/>
        <v>33.5</v>
      </c>
    </row>
    <row r="38" spans="1:16" ht="15.75">
      <c r="A38" s="10" t="s">
        <v>36</v>
      </c>
      <c r="B38" s="35">
        <v>10</v>
      </c>
      <c r="C38" s="65"/>
      <c r="D38" s="65">
        <v>34</v>
      </c>
      <c r="E38" s="70"/>
      <c r="F38" s="28"/>
      <c r="G38" s="28">
        <v>6000</v>
      </c>
      <c r="H38" s="28"/>
      <c r="I38" s="55"/>
      <c r="J38" s="55">
        <v>1.47</v>
      </c>
      <c r="K38" s="55"/>
      <c r="L38" s="80">
        <v>0.143</v>
      </c>
      <c r="M38" s="30">
        <f t="shared" si="0"/>
        <v>0</v>
      </c>
      <c r="N38" s="30">
        <f t="shared" si="1"/>
        <v>42.9</v>
      </c>
      <c r="O38" s="30">
        <f t="shared" si="2"/>
        <v>0</v>
      </c>
      <c r="P38" s="30">
        <f t="shared" si="3"/>
        <v>42.9</v>
      </c>
    </row>
    <row r="39" spans="1:16" s="12" customFormat="1" ht="16.5" customHeight="1">
      <c r="A39" s="11" t="s">
        <v>37</v>
      </c>
      <c r="B39" s="36">
        <v>9</v>
      </c>
      <c r="C39" s="65"/>
      <c r="D39" s="65">
        <v>22</v>
      </c>
      <c r="E39" s="64"/>
      <c r="F39" s="28"/>
      <c r="G39" s="28">
        <v>6000</v>
      </c>
      <c r="H39" s="29"/>
      <c r="I39" s="55"/>
      <c r="J39" s="55">
        <v>1.14</v>
      </c>
      <c r="K39" s="55"/>
      <c r="L39" s="80">
        <v>0.15</v>
      </c>
      <c r="M39" s="30">
        <f t="shared" si="0"/>
        <v>0</v>
      </c>
      <c r="N39" s="30">
        <f t="shared" si="1"/>
        <v>22.6</v>
      </c>
      <c r="O39" s="30">
        <f t="shared" si="2"/>
        <v>0</v>
      </c>
      <c r="P39" s="30">
        <f t="shared" si="3"/>
        <v>22.6</v>
      </c>
    </row>
    <row r="40" spans="1:16" s="12" customFormat="1" ht="15" customHeight="1">
      <c r="A40" s="11" t="s">
        <v>38</v>
      </c>
      <c r="B40" s="36">
        <v>10</v>
      </c>
      <c r="C40" s="65"/>
      <c r="D40" s="65">
        <v>34</v>
      </c>
      <c r="E40" s="66"/>
      <c r="F40" s="28"/>
      <c r="G40" s="28">
        <v>6000</v>
      </c>
      <c r="H40" s="29"/>
      <c r="I40" s="55"/>
      <c r="J40" s="55">
        <v>1.47</v>
      </c>
      <c r="K40" s="55"/>
      <c r="L40" s="80">
        <v>0.14</v>
      </c>
      <c r="M40" s="30">
        <f t="shared" si="0"/>
        <v>0</v>
      </c>
      <c r="N40" s="30">
        <f t="shared" si="1"/>
        <v>42</v>
      </c>
      <c r="O40" s="30">
        <f t="shared" si="2"/>
        <v>0</v>
      </c>
      <c r="P40" s="30">
        <f t="shared" si="3"/>
        <v>42</v>
      </c>
    </row>
    <row r="41" spans="1:16" ht="18.75" customHeight="1">
      <c r="A41" s="10" t="s">
        <v>39</v>
      </c>
      <c r="B41" s="35">
        <v>10</v>
      </c>
      <c r="C41" s="65"/>
      <c r="D41" s="65">
        <v>63</v>
      </c>
      <c r="E41" s="66"/>
      <c r="F41" s="28"/>
      <c r="G41" s="28">
        <v>6000</v>
      </c>
      <c r="H41" s="28"/>
      <c r="I41" s="55"/>
      <c r="J41" s="55">
        <v>1.19</v>
      </c>
      <c r="K41" s="55"/>
      <c r="L41" s="80">
        <v>0.128</v>
      </c>
      <c r="M41" s="30">
        <f t="shared" si="0"/>
        <v>0</v>
      </c>
      <c r="N41" s="30">
        <f t="shared" si="1"/>
        <v>57.6</v>
      </c>
      <c r="O41" s="30">
        <f t="shared" si="2"/>
        <v>0</v>
      </c>
      <c r="P41" s="30">
        <f t="shared" si="3"/>
        <v>57.6</v>
      </c>
    </row>
    <row r="42" spans="1:16" ht="15.75">
      <c r="A42" s="10" t="s">
        <v>40</v>
      </c>
      <c r="B42" s="35">
        <v>9</v>
      </c>
      <c r="C42" s="71"/>
      <c r="D42" s="71">
        <v>12</v>
      </c>
      <c r="E42" s="72"/>
      <c r="F42" s="28"/>
      <c r="G42" s="28">
        <v>6000</v>
      </c>
      <c r="H42" s="28"/>
      <c r="I42" s="55"/>
      <c r="J42" s="55">
        <v>2.08</v>
      </c>
      <c r="K42" s="55"/>
      <c r="L42" s="80">
        <v>0.245</v>
      </c>
      <c r="M42" s="30">
        <f t="shared" si="0"/>
        <v>0</v>
      </c>
      <c r="N42" s="30">
        <f t="shared" si="1"/>
        <v>36.7</v>
      </c>
      <c r="O42" s="30">
        <f t="shared" si="2"/>
        <v>0</v>
      </c>
      <c r="P42" s="30">
        <f t="shared" si="3"/>
        <v>36.7</v>
      </c>
    </row>
    <row r="43" spans="1:16" ht="14.25" customHeight="1">
      <c r="A43" s="10" t="s">
        <v>23</v>
      </c>
      <c r="B43" s="38">
        <v>10</v>
      </c>
      <c r="C43" s="73"/>
      <c r="D43" s="73">
        <v>40</v>
      </c>
      <c r="E43" s="73"/>
      <c r="F43" s="28"/>
      <c r="G43" s="28">
        <v>6000</v>
      </c>
      <c r="H43" s="28"/>
      <c r="I43" s="55"/>
      <c r="J43" s="55">
        <v>1.25</v>
      </c>
      <c r="K43" s="55"/>
      <c r="L43" s="80">
        <v>0.185</v>
      </c>
      <c r="M43" s="30">
        <f t="shared" si="0"/>
        <v>0</v>
      </c>
      <c r="N43" s="30">
        <f t="shared" si="1"/>
        <v>55.5</v>
      </c>
      <c r="O43" s="30">
        <f t="shared" si="2"/>
        <v>0</v>
      </c>
      <c r="P43" s="30">
        <f t="shared" si="3"/>
        <v>55.5</v>
      </c>
    </row>
    <row r="44" spans="1:16" ht="15.75">
      <c r="A44" s="10" t="s">
        <v>41</v>
      </c>
      <c r="B44" s="35">
        <v>10</v>
      </c>
      <c r="C44" s="63"/>
      <c r="D44" s="63">
        <v>22</v>
      </c>
      <c r="E44" s="74"/>
      <c r="F44" s="28"/>
      <c r="G44" s="28">
        <v>6000</v>
      </c>
      <c r="H44" s="28"/>
      <c r="I44" s="55"/>
      <c r="J44" s="55">
        <v>1.14</v>
      </c>
      <c r="K44" s="55"/>
      <c r="L44" s="80">
        <v>0.18</v>
      </c>
      <c r="M44" s="30">
        <f t="shared" si="0"/>
        <v>0</v>
      </c>
      <c r="N44" s="30">
        <f t="shared" si="1"/>
        <v>27.1</v>
      </c>
      <c r="O44" s="30">
        <f t="shared" si="2"/>
        <v>0</v>
      </c>
      <c r="P44" s="30">
        <f t="shared" si="3"/>
        <v>27.1</v>
      </c>
    </row>
    <row r="45" spans="1:16" ht="15.75">
      <c r="A45" s="10" t="s">
        <v>42</v>
      </c>
      <c r="B45" s="35">
        <v>9</v>
      </c>
      <c r="C45" s="65"/>
      <c r="D45" s="65">
        <v>7</v>
      </c>
      <c r="E45" s="66"/>
      <c r="F45" s="28"/>
      <c r="G45" s="28">
        <v>6000</v>
      </c>
      <c r="H45" s="28"/>
      <c r="I45" s="55"/>
      <c r="J45" s="55">
        <v>3.57</v>
      </c>
      <c r="K45" s="55"/>
      <c r="L45" s="80">
        <v>0.125</v>
      </c>
      <c r="M45" s="30">
        <f t="shared" si="0"/>
        <v>0</v>
      </c>
      <c r="N45" s="30">
        <f t="shared" si="1"/>
        <v>18.7</v>
      </c>
      <c r="O45" s="30">
        <f t="shared" si="2"/>
        <v>0</v>
      </c>
      <c r="P45" s="30">
        <f t="shared" si="3"/>
        <v>18.7</v>
      </c>
    </row>
    <row r="46" spans="1:16" ht="22.5" customHeight="1">
      <c r="A46" s="10" t="s">
        <v>43</v>
      </c>
      <c r="B46" s="35">
        <v>10</v>
      </c>
      <c r="C46" s="65"/>
      <c r="D46" s="65">
        <v>15</v>
      </c>
      <c r="E46" s="70"/>
      <c r="F46" s="28"/>
      <c r="G46" s="28">
        <v>6000</v>
      </c>
      <c r="H46" s="28"/>
      <c r="I46" s="55"/>
      <c r="J46" s="55">
        <v>1.67</v>
      </c>
      <c r="K46" s="55"/>
      <c r="L46" s="80">
        <v>0.35</v>
      </c>
      <c r="M46" s="30">
        <f t="shared" si="0"/>
        <v>0</v>
      </c>
      <c r="N46" s="30">
        <f t="shared" si="1"/>
        <v>52.6</v>
      </c>
      <c r="O46" s="30">
        <f t="shared" si="2"/>
        <v>0</v>
      </c>
      <c r="P46" s="30">
        <f t="shared" si="3"/>
        <v>52.6</v>
      </c>
    </row>
    <row r="47" spans="1:16" s="97" customFormat="1" ht="15.75">
      <c r="A47" s="92" t="s">
        <v>24</v>
      </c>
      <c r="B47" s="93">
        <v>9</v>
      </c>
      <c r="C47" s="85"/>
      <c r="D47" s="85">
        <v>14</v>
      </c>
      <c r="E47" s="86"/>
      <c r="F47" s="94"/>
      <c r="G47" s="28">
        <v>6000</v>
      </c>
      <c r="H47" s="94"/>
      <c r="I47" s="88"/>
      <c r="J47" s="88">
        <v>1.36</v>
      </c>
      <c r="K47" s="88"/>
      <c r="L47" s="89">
        <v>0.08</v>
      </c>
      <c r="M47" s="96">
        <f t="shared" si="0"/>
        <v>0</v>
      </c>
      <c r="N47" s="96">
        <f t="shared" si="1"/>
        <v>9.1</v>
      </c>
      <c r="O47" s="96">
        <f t="shared" si="2"/>
        <v>0</v>
      </c>
      <c r="P47" s="96">
        <f t="shared" si="3"/>
        <v>9.1</v>
      </c>
    </row>
    <row r="48" spans="1:16" ht="18" customHeight="1">
      <c r="A48" s="10" t="s">
        <v>44</v>
      </c>
      <c r="B48" s="35">
        <v>10</v>
      </c>
      <c r="C48" s="65"/>
      <c r="D48" s="65">
        <v>21</v>
      </c>
      <c r="E48" s="66"/>
      <c r="F48" s="28"/>
      <c r="G48" s="28">
        <v>6000</v>
      </c>
      <c r="H48" s="28"/>
      <c r="I48" s="55"/>
      <c r="J48" s="55">
        <v>1.19</v>
      </c>
      <c r="K48" s="55"/>
      <c r="L48" s="80">
        <v>0.2</v>
      </c>
      <c r="M48" s="30">
        <f t="shared" si="0"/>
        <v>0</v>
      </c>
      <c r="N48" s="30">
        <f t="shared" si="1"/>
        <v>30</v>
      </c>
      <c r="O48" s="30">
        <f t="shared" si="2"/>
        <v>0</v>
      </c>
      <c r="P48" s="30">
        <f t="shared" si="3"/>
        <v>30</v>
      </c>
    </row>
    <row r="49" spans="1:16" ht="34.5" customHeight="1">
      <c r="A49" s="11" t="s">
        <v>45</v>
      </c>
      <c r="B49" s="36">
        <v>9</v>
      </c>
      <c r="C49" s="65"/>
      <c r="D49" s="65">
        <v>9</v>
      </c>
      <c r="E49" s="66"/>
      <c r="F49" s="28"/>
      <c r="G49" s="28">
        <v>6000</v>
      </c>
      <c r="H49" s="28"/>
      <c r="I49" s="55"/>
      <c r="J49" s="55">
        <v>2.78</v>
      </c>
      <c r="K49" s="55"/>
      <c r="L49" s="80">
        <v>0.13</v>
      </c>
      <c r="M49" s="30">
        <f t="shared" si="0"/>
        <v>0</v>
      </c>
      <c r="N49" s="30">
        <f t="shared" si="1"/>
        <v>19.5</v>
      </c>
      <c r="O49" s="30">
        <f t="shared" si="2"/>
        <v>0</v>
      </c>
      <c r="P49" s="30">
        <f t="shared" si="3"/>
        <v>19.5</v>
      </c>
    </row>
    <row r="50" spans="1:16" s="12" customFormat="1" ht="32.25" thickBot="1">
      <c r="A50" s="11" t="s">
        <v>46</v>
      </c>
      <c r="B50" s="36">
        <v>10</v>
      </c>
      <c r="C50" s="65"/>
      <c r="D50" s="65">
        <v>17</v>
      </c>
      <c r="E50" s="72"/>
      <c r="F50" s="28"/>
      <c r="G50" s="28">
        <v>6000</v>
      </c>
      <c r="H50" s="29"/>
      <c r="I50" s="55"/>
      <c r="J50" s="55">
        <v>1.47</v>
      </c>
      <c r="K50" s="55"/>
      <c r="L50" s="80">
        <v>0.16</v>
      </c>
      <c r="M50" s="30">
        <f t="shared" si="0"/>
        <v>0</v>
      </c>
      <c r="N50" s="30">
        <f t="shared" si="1"/>
        <v>24</v>
      </c>
      <c r="O50" s="30">
        <f t="shared" si="2"/>
        <v>0</v>
      </c>
      <c r="P50" s="30">
        <f t="shared" si="3"/>
        <v>24</v>
      </c>
    </row>
    <row r="51" spans="1:16" ht="16.5" thickBot="1">
      <c r="A51" s="18" t="s">
        <v>51</v>
      </c>
      <c r="B51" s="18"/>
      <c r="C51" s="75">
        <f>SUM(C6:C50)</f>
        <v>405</v>
      </c>
      <c r="D51" s="75">
        <f>SUM(D6:D50)</f>
        <v>2835</v>
      </c>
      <c r="E51" s="76">
        <f>SUM(E6:E50)</f>
        <v>305</v>
      </c>
      <c r="F51" s="24"/>
      <c r="G51" s="28"/>
      <c r="H51" s="28"/>
      <c r="I51" s="39">
        <f>SUM(I6:I50)</f>
        <v>12.11</v>
      </c>
      <c r="J51" s="39">
        <f>SUM(J6:J50)</f>
        <v>60.099999999999994</v>
      </c>
      <c r="K51" s="39">
        <f>SUM(K6:K50)</f>
        <v>9.120000000000001</v>
      </c>
      <c r="L51" s="28"/>
      <c r="M51" s="30">
        <f>SUM(M6:M50)</f>
        <v>296.59999999999997</v>
      </c>
      <c r="N51" s="30">
        <f>SUM(N6:N50)</f>
        <v>2884.5999999999995</v>
      </c>
      <c r="O51" s="30">
        <f>SUM(O6:O50)</f>
        <v>310.8999999999999</v>
      </c>
      <c r="P51" s="30">
        <f>SUM(P6:P50)</f>
        <v>3492.1</v>
      </c>
    </row>
    <row r="52" spans="1:16" ht="18" customHeight="1">
      <c r="A52" s="13"/>
      <c r="B52" s="13"/>
      <c r="C52" s="45"/>
      <c r="D52" s="19"/>
      <c r="I52" s="101"/>
      <c r="J52" s="101"/>
      <c r="K52" s="46"/>
      <c r="P52" s="31"/>
    </row>
    <row r="53" spans="1:12" ht="15.75">
      <c r="A53" s="14"/>
      <c r="B53" s="14"/>
      <c r="C53" s="15"/>
      <c r="D53" s="15"/>
      <c r="I53" s="47"/>
      <c r="J53" s="47"/>
      <c r="K53" s="47"/>
      <c r="L53" s="47"/>
    </row>
    <row r="54" spans="1:16" ht="15.75">
      <c r="A54" s="14"/>
      <c r="B54" s="14"/>
      <c r="C54" s="15"/>
      <c r="D54" s="15"/>
      <c r="P54" s="31"/>
    </row>
    <row r="55" spans="1:4" ht="15.75">
      <c r="A55" s="14"/>
      <c r="B55" s="14"/>
      <c r="C55" s="15"/>
      <c r="D55" s="15"/>
    </row>
    <row r="56" spans="1:4" ht="15.75">
      <c r="A56" s="14"/>
      <c r="B56" s="14"/>
      <c r="C56" s="15"/>
      <c r="D56" s="15"/>
    </row>
    <row r="57" spans="1:4" ht="15.75">
      <c r="A57" s="20"/>
      <c r="B57" s="20"/>
      <c r="C57" s="15"/>
      <c r="D57" s="15"/>
    </row>
    <row r="58" spans="1:4" ht="15.75">
      <c r="A58" s="20"/>
      <c r="B58" s="20"/>
      <c r="C58" s="15"/>
      <c r="D58" s="15"/>
    </row>
    <row r="59" spans="1:4" ht="16.5" customHeight="1">
      <c r="A59" s="14"/>
      <c r="B59" s="14"/>
      <c r="C59" s="15"/>
      <c r="D59" s="15"/>
    </row>
    <row r="60" spans="1:4" ht="15.75">
      <c r="A60" s="14"/>
      <c r="B60" s="14"/>
      <c r="C60" s="15"/>
      <c r="D60" s="15"/>
    </row>
    <row r="61" spans="1:4" ht="15.75">
      <c r="A61" s="14"/>
      <c r="B61" s="14"/>
      <c r="C61" s="15"/>
      <c r="D61" s="15"/>
    </row>
    <row r="62" spans="1:4" ht="15.75">
      <c r="A62" s="14"/>
      <c r="B62" s="14"/>
      <c r="C62" s="15"/>
      <c r="D62" s="15"/>
    </row>
    <row r="63" spans="1:4" ht="15.75">
      <c r="A63" s="14"/>
      <c r="B63" s="14"/>
      <c r="C63" s="15"/>
      <c r="D63" s="15"/>
    </row>
    <row r="64" spans="1:4" ht="15.75">
      <c r="A64" s="14"/>
      <c r="B64" s="14"/>
      <c r="C64" s="15"/>
      <c r="D64" s="15"/>
    </row>
    <row r="65" spans="1:4" ht="15.75">
      <c r="A65" s="21"/>
      <c r="B65" s="21"/>
      <c r="C65" s="22"/>
      <c r="D65" s="22"/>
    </row>
    <row r="66" spans="1:4" s="17" customFormat="1" ht="16.5" customHeight="1">
      <c r="A66" s="324"/>
      <c r="B66" s="324"/>
      <c r="C66" s="324"/>
      <c r="D66" s="324"/>
    </row>
    <row r="67" spans="1:4" ht="15.75">
      <c r="A67" s="20"/>
      <c r="B67" s="20"/>
      <c r="C67" s="15"/>
      <c r="D67" s="15"/>
    </row>
    <row r="68" spans="1:4" ht="15.75">
      <c r="A68" s="20"/>
      <c r="B68" s="20"/>
      <c r="C68" s="15"/>
      <c r="D68" s="15"/>
    </row>
    <row r="69" spans="1:4" ht="15.75">
      <c r="A69" s="20"/>
      <c r="B69" s="20"/>
      <c r="C69" s="15"/>
      <c r="D69" s="15"/>
    </row>
    <row r="70" spans="1:4" ht="15.75">
      <c r="A70" s="20"/>
      <c r="B70" s="20"/>
      <c r="C70" s="15"/>
      <c r="D70" s="15"/>
    </row>
    <row r="71" spans="1:4" ht="18" customHeight="1">
      <c r="A71" s="20"/>
      <c r="B71" s="20"/>
      <c r="C71" s="15"/>
      <c r="D71" s="15"/>
    </row>
    <row r="72" spans="1:4" ht="15.75">
      <c r="A72" s="20"/>
      <c r="B72" s="20"/>
      <c r="C72" s="15"/>
      <c r="D72" s="15"/>
    </row>
    <row r="73" spans="1:4" ht="15.75">
      <c r="A73" s="20"/>
      <c r="B73" s="20"/>
      <c r="C73" s="15"/>
      <c r="D73" s="15"/>
    </row>
    <row r="74" spans="1:4" ht="15.75">
      <c r="A74" s="20"/>
      <c r="B74" s="20"/>
      <c r="C74" s="15"/>
      <c r="D74" s="15"/>
    </row>
    <row r="75" spans="1:4" ht="15.75">
      <c r="A75" s="20"/>
      <c r="B75" s="20"/>
      <c r="C75" s="15"/>
      <c r="D75" s="15"/>
    </row>
    <row r="76" spans="1:4" ht="15.75">
      <c r="A76" s="20"/>
      <c r="B76" s="20"/>
      <c r="C76" s="15"/>
      <c r="D76" s="15"/>
    </row>
    <row r="77" spans="1:4" ht="15.75">
      <c r="A77" s="14"/>
      <c r="B77" s="14"/>
      <c r="C77" s="15"/>
      <c r="D77" s="15"/>
    </row>
    <row r="78" spans="1:4" ht="15.75">
      <c r="A78" s="14"/>
      <c r="B78" s="14"/>
      <c r="C78" s="15"/>
      <c r="D78" s="15"/>
    </row>
    <row r="79" spans="1:4" ht="15.75">
      <c r="A79" s="14"/>
      <c r="B79" s="14"/>
      <c r="C79" s="15"/>
      <c r="D79" s="15"/>
    </row>
    <row r="80" spans="1:4" ht="15.75">
      <c r="A80" s="14"/>
      <c r="B80" s="14"/>
      <c r="C80" s="15"/>
      <c r="D80" s="15"/>
    </row>
    <row r="81" spans="1:4" ht="15.75">
      <c r="A81" s="14"/>
      <c r="B81" s="14"/>
      <c r="C81" s="15"/>
      <c r="D81" s="15"/>
    </row>
    <row r="82" spans="1:4" ht="15.75">
      <c r="A82" s="14"/>
      <c r="B82" s="14"/>
      <c r="C82" s="15"/>
      <c r="D82" s="15"/>
    </row>
    <row r="83" spans="1:4" ht="15.75">
      <c r="A83" s="14"/>
      <c r="B83" s="14"/>
      <c r="C83" s="15"/>
      <c r="D83" s="15"/>
    </row>
    <row r="84" spans="1:4" ht="15.75">
      <c r="A84" s="14"/>
      <c r="B84" s="14"/>
      <c r="C84" s="15"/>
      <c r="D84" s="15"/>
    </row>
    <row r="85" spans="1:4" ht="15.75">
      <c r="A85" s="14"/>
      <c r="B85" s="14"/>
      <c r="C85" s="15"/>
      <c r="D85" s="15"/>
    </row>
    <row r="86" spans="1:4" ht="15.75">
      <c r="A86" s="14"/>
      <c r="B86" s="14"/>
      <c r="C86" s="15"/>
      <c r="D86" s="15"/>
    </row>
    <row r="87" spans="1:4" ht="15.75">
      <c r="A87" s="14"/>
      <c r="B87" s="14"/>
      <c r="C87" s="15"/>
      <c r="D87" s="15"/>
    </row>
    <row r="88" spans="1:4" ht="15.75">
      <c r="A88" s="14"/>
      <c r="B88" s="14"/>
      <c r="C88" s="15"/>
      <c r="D88" s="15"/>
    </row>
    <row r="89" spans="1:4" ht="15.75">
      <c r="A89" s="14"/>
      <c r="B89" s="14"/>
      <c r="C89" s="15"/>
      <c r="D89" s="15"/>
    </row>
    <row r="90" spans="1:4" ht="15.75">
      <c r="A90" s="14"/>
      <c r="B90" s="14"/>
      <c r="C90" s="15"/>
      <c r="D90" s="15"/>
    </row>
    <row r="91" spans="1:4" ht="15.75">
      <c r="A91" s="14"/>
      <c r="B91" s="14"/>
      <c r="C91" s="15"/>
      <c r="D91" s="15"/>
    </row>
    <row r="92" spans="1:4" ht="15.75">
      <c r="A92" s="14"/>
      <c r="B92" s="14"/>
      <c r="C92" s="15"/>
      <c r="D92" s="15"/>
    </row>
    <row r="93" spans="1:4" ht="15.75">
      <c r="A93" s="14"/>
      <c r="B93" s="14"/>
      <c r="C93" s="15"/>
      <c r="D93" s="15"/>
    </row>
    <row r="94" spans="1:4" ht="15.75">
      <c r="A94" s="14"/>
      <c r="B94" s="14"/>
      <c r="C94" s="15"/>
      <c r="D94" s="15"/>
    </row>
    <row r="95" spans="1:4" ht="15.75">
      <c r="A95" s="14"/>
      <c r="B95" s="14"/>
      <c r="C95" s="15"/>
      <c r="D95" s="15"/>
    </row>
    <row r="96" spans="1:4" ht="15.75">
      <c r="A96" s="14"/>
      <c r="B96" s="14"/>
      <c r="C96" s="15"/>
      <c r="D96" s="15"/>
    </row>
    <row r="97" spans="1:4" ht="15.75">
      <c r="A97" s="14"/>
      <c r="B97" s="14"/>
      <c r="C97" s="15"/>
      <c r="D97" s="15"/>
    </row>
    <row r="98" spans="1:4" ht="15.75">
      <c r="A98" s="14"/>
      <c r="B98" s="14"/>
      <c r="C98" s="15"/>
      <c r="D98" s="15"/>
    </row>
    <row r="99" spans="1:4" ht="15.75">
      <c r="A99" s="14"/>
      <c r="B99" s="14"/>
      <c r="C99" s="15"/>
      <c r="D99" s="15"/>
    </row>
    <row r="100" spans="1:4" ht="15.75">
      <c r="A100" s="14"/>
      <c r="B100" s="14"/>
      <c r="C100" s="15"/>
      <c r="D100" s="15"/>
    </row>
    <row r="101" spans="1:4" ht="15.75">
      <c r="A101" s="14"/>
      <c r="B101" s="14"/>
      <c r="C101" s="15"/>
      <c r="D101" s="15"/>
    </row>
    <row r="102" spans="1:4" ht="15.75">
      <c r="A102" s="14"/>
      <c r="B102" s="14"/>
      <c r="C102" s="15"/>
      <c r="D102" s="15"/>
    </row>
    <row r="103" spans="1:4" ht="15.75">
      <c r="A103" s="14"/>
      <c r="B103" s="14"/>
      <c r="C103" s="15"/>
      <c r="D103" s="15"/>
    </row>
    <row r="104" spans="1:4" ht="15.75">
      <c r="A104" s="14"/>
      <c r="B104" s="14"/>
      <c r="C104" s="15"/>
      <c r="D104" s="15"/>
    </row>
    <row r="105" spans="1:4" ht="15.75">
      <c r="A105" s="14"/>
      <c r="B105" s="14"/>
      <c r="C105" s="15"/>
      <c r="D105" s="15"/>
    </row>
    <row r="106" spans="1:4" ht="15.75">
      <c r="A106" s="14"/>
      <c r="B106" s="14"/>
      <c r="C106" s="15"/>
      <c r="D106" s="15"/>
    </row>
    <row r="107" spans="1:4" ht="15.75">
      <c r="A107" s="14"/>
      <c r="B107" s="14"/>
      <c r="C107" s="15"/>
      <c r="D107" s="15"/>
    </row>
    <row r="108" spans="1:4" ht="15.75">
      <c r="A108" s="14"/>
      <c r="B108" s="14"/>
      <c r="C108" s="15"/>
      <c r="D108" s="15"/>
    </row>
    <row r="109" spans="1:4" ht="15.75">
      <c r="A109" s="14"/>
      <c r="B109" s="14"/>
      <c r="C109" s="15"/>
      <c r="D109" s="15"/>
    </row>
    <row r="110" spans="1:4" ht="15.75">
      <c r="A110" s="14"/>
      <c r="B110" s="14"/>
      <c r="C110" s="15"/>
      <c r="D110" s="15"/>
    </row>
    <row r="111" spans="1:4" ht="15.75">
      <c r="A111" s="23"/>
      <c r="B111" s="23"/>
      <c r="C111" s="22"/>
      <c r="D111" s="22"/>
    </row>
    <row r="112" spans="1:4" ht="15.75">
      <c r="A112" s="23"/>
      <c r="B112" s="23"/>
      <c r="C112" s="6"/>
      <c r="D112" s="6"/>
    </row>
    <row r="113" spans="1:4" ht="15.75">
      <c r="A113" s="16"/>
      <c r="B113" s="16"/>
      <c r="C113" s="15"/>
      <c r="D113" s="15"/>
    </row>
  </sheetData>
  <sheetProtection/>
  <mergeCells count="16">
    <mergeCell ref="A1:D1"/>
    <mergeCell ref="F2:H2"/>
    <mergeCell ref="M2:P2"/>
    <mergeCell ref="A3:A4"/>
    <mergeCell ref="B3:B5"/>
    <mergeCell ref="C3:E3"/>
    <mergeCell ref="F3:H3"/>
    <mergeCell ref="I3:K3"/>
    <mergeCell ref="L3:L5"/>
    <mergeCell ref="M3:O3"/>
    <mergeCell ref="P3:P5"/>
    <mergeCell ref="C4:D4"/>
    <mergeCell ref="F4:G4"/>
    <mergeCell ref="I4:J4"/>
    <mergeCell ref="M4:N4"/>
    <mergeCell ref="A66:D66"/>
  </mergeCells>
  <printOptions horizontalCentered="1"/>
  <pageMargins left="0" right="0" top="0.5905511811023623" bottom="0" header="0" footer="0"/>
  <pageSetup horizontalDpi="600" verticalDpi="600" orientation="landscape" paperSize="9" scale="60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3"/>
  <sheetViews>
    <sheetView view="pageBreakPreview" zoomScale="70" zoomScaleNormal="71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" sqref="E3:E5"/>
    </sheetView>
  </sheetViews>
  <sheetFormatPr defaultColWidth="9.140625" defaultRowHeight="12.75"/>
  <cols>
    <col min="1" max="1" width="30.8515625" style="8" customWidth="1"/>
    <col min="2" max="2" width="14.8515625" style="8" customWidth="1"/>
    <col min="3" max="3" width="15.8515625" style="33" customWidth="1"/>
    <col min="4" max="4" width="15.140625" style="7" customWidth="1"/>
    <col min="5" max="5" width="20.00390625" style="7" customWidth="1"/>
    <col min="6" max="6" width="20.00390625" style="117" customWidth="1"/>
    <col min="7" max="7" width="15.421875" style="7" customWidth="1"/>
    <col min="8" max="8" width="17.7109375" style="7" customWidth="1"/>
    <col min="9" max="9" width="14.7109375" style="7" customWidth="1"/>
    <col min="10" max="10" width="17.140625" style="7" customWidth="1"/>
    <col min="11" max="11" width="15.28125" style="7" customWidth="1"/>
    <col min="12" max="12" width="16.140625" style="7" customWidth="1"/>
    <col min="13" max="13" width="17.00390625" style="7" customWidth="1"/>
    <col min="14" max="14" width="15.7109375" style="7" customWidth="1"/>
    <col min="15" max="15" width="19.140625" style="7" customWidth="1"/>
    <col min="16" max="16" width="19.8515625" style="7" customWidth="1"/>
    <col min="17" max="17" width="19.00390625" style="7" customWidth="1"/>
    <col min="18" max="18" width="31.00390625" style="7" customWidth="1"/>
    <col min="19" max="16384" width="9.140625" style="7" customWidth="1"/>
  </cols>
  <sheetData>
    <row r="1" spans="1:2" ht="15.75">
      <c r="A1" s="325"/>
      <c r="B1" s="325"/>
    </row>
    <row r="2" spans="1:2" ht="15.75" customHeight="1">
      <c r="A2" s="43"/>
      <c r="B2" s="43"/>
    </row>
    <row r="3" spans="1:18" ht="51.75" customHeight="1">
      <c r="A3" s="335" t="s">
        <v>0</v>
      </c>
      <c r="B3" s="336" t="s">
        <v>52</v>
      </c>
      <c r="C3" s="342" t="s">
        <v>73</v>
      </c>
      <c r="D3" s="345" t="s">
        <v>66</v>
      </c>
      <c r="E3" s="345" t="s">
        <v>67</v>
      </c>
      <c r="F3" s="349" t="s">
        <v>69</v>
      </c>
      <c r="G3" s="348" t="s">
        <v>70</v>
      </c>
      <c r="H3" s="348"/>
      <c r="I3" s="348"/>
      <c r="J3" s="340"/>
      <c r="K3" s="340"/>
      <c r="L3" s="340"/>
      <c r="M3" s="340"/>
      <c r="N3" s="340"/>
      <c r="O3" s="340"/>
      <c r="P3" s="340"/>
      <c r="Q3" s="341"/>
      <c r="R3" s="26"/>
    </row>
    <row r="4" spans="1:18" ht="117.75" customHeight="1">
      <c r="A4" s="335"/>
      <c r="B4" s="337"/>
      <c r="C4" s="343"/>
      <c r="D4" s="346"/>
      <c r="E4" s="346"/>
      <c r="F4" s="350"/>
      <c r="G4" s="103" t="s">
        <v>68</v>
      </c>
      <c r="H4" s="112"/>
      <c r="I4" s="114"/>
      <c r="J4" s="340"/>
      <c r="K4" s="340"/>
      <c r="L4" s="340"/>
      <c r="M4" s="340"/>
      <c r="N4" s="340"/>
      <c r="O4" s="340"/>
      <c r="P4" s="340"/>
      <c r="Q4" s="341"/>
      <c r="R4" s="26"/>
    </row>
    <row r="5" spans="1:18" ht="125.25" customHeight="1">
      <c r="A5" s="2"/>
      <c r="B5" s="338"/>
      <c r="C5" s="344"/>
      <c r="D5" s="347"/>
      <c r="E5" s="347"/>
      <c r="F5" s="351"/>
      <c r="G5" s="113"/>
      <c r="H5" s="113"/>
      <c r="I5" s="115"/>
      <c r="J5" s="340"/>
      <c r="K5" s="340"/>
      <c r="L5" s="340"/>
      <c r="M5" s="340"/>
      <c r="N5" s="340"/>
      <c r="O5" s="340"/>
      <c r="P5" s="340"/>
      <c r="Q5" s="341"/>
      <c r="R5" s="26"/>
    </row>
    <row r="6" spans="1:18" ht="23.25" customHeight="1">
      <c r="A6" s="10" t="s">
        <v>2</v>
      </c>
      <c r="B6" s="34">
        <v>12</v>
      </c>
      <c r="C6" s="32">
        <f>ДС!P6</f>
        <v>4471.9</v>
      </c>
      <c r="D6" s="77">
        <f>'МЗ-корректировка'!P6</f>
        <v>125.7</v>
      </c>
      <c r="E6" s="30">
        <f aca="true" t="shared" si="0" ref="E6:E50">C6+D6</f>
        <v>4597.599999999999</v>
      </c>
      <c r="F6" s="118">
        <f>'[1]2018'!$N5</f>
        <v>4179.6</v>
      </c>
      <c r="G6" s="79">
        <f aca="true" t="shared" si="1" ref="G6:G50">C6-F6</f>
        <v>292.2999999999993</v>
      </c>
      <c r="H6" s="78"/>
      <c r="I6" s="81"/>
      <c r="J6" s="82"/>
      <c r="K6" s="82"/>
      <c r="L6" s="82"/>
      <c r="M6" s="82"/>
      <c r="N6" s="105"/>
      <c r="O6" s="82"/>
      <c r="P6" s="82"/>
      <c r="Q6" s="26"/>
      <c r="R6" s="26"/>
    </row>
    <row r="7" spans="1:18" ht="15.75">
      <c r="A7" s="10" t="s">
        <v>3</v>
      </c>
      <c r="B7" s="34">
        <v>12</v>
      </c>
      <c r="C7" s="32">
        <f>ДС!P7</f>
        <v>5883.4</v>
      </c>
      <c r="D7" s="77">
        <f>'МЗ-корректировка'!P7</f>
        <v>128.9</v>
      </c>
      <c r="E7" s="30">
        <f t="shared" si="0"/>
        <v>6012.299999999999</v>
      </c>
      <c r="F7" s="118">
        <f>'[1]2018'!$N6</f>
        <v>5462.1</v>
      </c>
      <c r="G7" s="79">
        <f t="shared" si="1"/>
        <v>421.2999999999993</v>
      </c>
      <c r="H7" s="78"/>
      <c r="I7" s="81"/>
      <c r="J7" s="82"/>
      <c r="K7" s="82"/>
      <c r="L7" s="82"/>
      <c r="M7" s="82"/>
      <c r="N7" s="105"/>
      <c r="O7" s="82"/>
      <c r="P7" s="82"/>
      <c r="Q7" s="26"/>
      <c r="R7" s="26"/>
    </row>
    <row r="8" spans="1:18" ht="15.75">
      <c r="A8" s="10" t="s">
        <v>4</v>
      </c>
      <c r="B8" s="34">
        <v>12</v>
      </c>
      <c r="C8" s="32">
        <f>ДС!P8</f>
        <v>6497.3</v>
      </c>
      <c r="D8" s="77">
        <f>'МЗ-корректировка'!P8</f>
        <v>133.9</v>
      </c>
      <c r="E8" s="30">
        <f t="shared" si="0"/>
        <v>6631.2</v>
      </c>
      <c r="F8" s="118">
        <f>'[1]2018'!$N7</f>
        <v>6634.6</v>
      </c>
      <c r="G8" s="79">
        <f t="shared" si="1"/>
        <v>-137.30000000000018</v>
      </c>
      <c r="H8" s="78"/>
      <c r="I8" s="81"/>
      <c r="J8" s="82"/>
      <c r="K8" s="82"/>
      <c r="L8" s="82"/>
      <c r="M8" s="82"/>
      <c r="N8" s="105"/>
      <c r="O8" s="82"/>
      <c r="P8" s="82"/>
      <c r="Q8" s="26"/>
      <c r="R8" s="26"/>
    </row>
    <row r="9" spans="1:18" ht="15.75">
      <c r="A9" s="10" t="s">
        <v>5</v>
      </c>
      <c r="B9" s="34">
        <v>12</v>
      </c>
      <c r="C9" s="32">
        <f>ДС!P9</f>
        <v>14034.1</v>
      </c>
      <c r="D9" s="77">
        <f>'МЗ-корректировка'!P9</f>
        <v>266.7</v>
      </c>
      <c r="E9" s="30">
        <f t="shared" si="0"/>
        <v>14300.800000000001</v>
      </c>
      <c r="F9" s="118">
        <f>'[1]2018'!$N8</f>
        <v>14021.6</v>
      </c>
      <c r="G9" s="79">
        <f t="shared" si="1"/>
        <v>12.5</v>
      </c>
      <c r="H9" s="78"/>
      <c r="I9" s="81"/>
      <c r="J9" s="82"/>
      <c r="K9" s="82"/>
      <c r="L9" s="82"/>
      <c r="M9" s="82"/>
      <c r="N9" s="105"/>
      <c r="O9" s="82"/>
      <c r="P9" s="82"/>
      <c r="Q9" s="26"/>
      <c r="R9" s="26"/>
    </row>
    <row r="10" spans="1:18" ht="15.75">
      <c r="A10" s="10" t="s">
        <v>6</v>
      </c>
      <c r="B10" s="34">
        <v>12</v>
      </c>
      <c r="C10" s="32">
        <f>ДС!P10</f>
        <v>14903.4</v>
      </c>
      <c r="D10" s="77">
        <f>'МЗ-корректировка'!P10</f>
        <v>220.5</v>
      </c>
      <c r="E10" s="30">
        <f t="shared" si="0"/>
        <v>15123.9</v>
      </c>
      <c r="F10" s="118">
        <f>'[1]2018'!$N9</f>
        <v>14458.9</v>
      </c>
      <c r="G10" s="79">
        <f t="shared" si="1"/>
        <v>444.5</v>
      </c>
      <c r="H10" s="78"/>
      <c r="I10" s="81"/>
      <c r="J10" s="82"/>
      <c r="K10" s="82"/>
      <c r="L10" s="82"/>
      <c r="M10" s="82"/>
      <c r="N10" s="105"/>
      <c r="O10" s="82"/>
      <c r="P10" s="82"/>
      <c r="Q10" s="26"/>
      <c r="R10" s="26"/>
    </row>
    <row r="11" spans="1:18" ht="15.75">
      <c r="A11" s="10" t="s">
        <v>7</v>
      </c>
      <c r="B11" s="34">
        <v>12</v>
      </c>
      <c r="C11" s="32">
        <f>ДС!P11</f>
        <v>6946.7</v>
      </c>
      <c r="D11" s="77">
        <f>'МЗ-корректировка'!P11</f>
        <v>115.2</v>
      </c>
      <c r="E11" s="30">
        <f t="shared" si="0"/>
        <v>7061.9</v>
      </c>
      <c r="F11" s="118">
        <f>'[1]2018'!$N10</f>
        <v>6558.4</v>
      </c>
      <c r="G11" s="79">
        <f t="shared" si="1"/>
        <v>388.3000000000002</v>
      </c>
      <c r="H11" s="78"/>
      <c r="I11" s="81"/>
      <c r="J11" s="82"/>
      <c r="K11" s="82"/>
      <c r="L11" s="82"/>
      <c r="M11" s="82"/>
      <c r="N11" s="105"/>
      <c r="O11" s="82"/>
      <c r="P11" s="82"/>
      <c r="Q11" s="106"/>
      <c r="R11" s="26"/>
    </row>
    <row r="12" spans="1:18" ht="15.75">
      <c r="A12" s="10" t="s">
        <v>8</v>
      </c>
      <c r="B12" s="34">
        <v>12</v>
      </c>
      <c r="C12" s="32">
        <f>ДС!P12</f>
        <v>14855.5</v>
      </c>
      <c r="D12" s="77">
        <f>'МЗ-корректировка'!P12</f>
        <v>252.7</v>
      </c>
      <c r="E12" s="30">
        <f t="shared" si="0"/>
        <v>15108.2</v>
      </c>
      <c r="F12" s="118">
        <f>'[1]2018'!$N11</f>
        <v>15370.1</v>
      </c>
      <c r="G12" s="79">
        <f t="shared" si="1"/>
        <v>-514.6000000000004</v>
      </c>
      <c r="H12" s="78"/>
      <c r="I12" s="81"/>
      <c r="J12" s="82"/>
      <c r="K12" s="82"/>
      <c r="L12" s="82"/>
      <c r="M12" s="82"/>
      <c r="N12" s="105"/>
      <c r="O12" s="82"/>
      <c r="P12" s="82"/>
      <c r="Q12" s="26"/>
      <c r="R12" s="26"/>
    </row>
    <row r="13" spans="1:18" ht="15.75">
      <c r="A13" s="10" t="s">
        <v>9</v>
      </c>
      <c r="B13" s="34">
        <v>12</v>
      </c>
      <c r="C13" s="32">
        <f>ДС!P13</f>
        <v>15092</v>
      </c>
      <c r="D13" s="77">
        <f>'МЗ-корректировка'!P13</f>
        <v>233.1</v>
      </c>
      <c r="E13" s="30">
        <f t="shared" si="0"/>
        <v>15325.1</v>
      </c>
      <c r="F13" s="118">
        <f>'[1]2018'!$N12</f>
        <v>15087.5</v>
      </c>
      <c r="G13" s="79">
        <f t="shared" si="1"/>
        <v>4.5</v>
      </c>
      <c r="H13" s="78"/>
      <c r="I13" s="81"/>
      <c r="J13" s="82"/>
      <c r="K13" s="82"/>
      <c r="L13" s="82"/>
      <c r="M13" s="82"/>
      <c r="N13" s="105"/>
      <c r="O13" s="82"/>
      <c r="P13" s="82"/>
      <c r="Q13" s="26"/>
      <c r="R13" s="26"/>
    </row>
    <row r="14" spans="1:18" ht="15.75">
      <c r="A14" s="10" t="s">
        <v>10</v>
      </c>
      <c r="B14" s="34">
        <v>12</v>
      </c>
      <c r="C14" s="32">
        <f>ДС!P14</f>
        <v>12695.9</v>
      </c>
      <c r="D14" s="77">
        <f>'МЗ-корректировка'!P14</f>
        <v>195.39999999999998</v>
      </c>
      <c r="E14" s="30">
        <f t="shared" si="0"/>
        <v>12891.3</v>
      </c>
      <c r="F14" s="118">
        <f>'[1]2018'!$N13</f>
        <v>13333.9</v>
      </c>
      <c r="G14" s="79">
        <f t="shared" si="1"/>
        <v>-638</v>
      </c>
      <c r="H14" s="78"/>
      <c r="I14" s="81"/>
      <c r="J14" s="82"/>
      <c r="K14" s="82"/>
      <c r="L14" s="82"/>
      <c r="M14" s="82"/>
      <c r="N14" s="26"/>
      <c r="O14" s="82"/>
      <c r="P14" s="82"/>
      <c r="Q14" s="106"/>
      <c r="R14" s="26"/>
    </row>
    <row r="15" spans="1:18" ht="15.75">
      <c r="A15" s="10" t="s">
        <v>11</v>
      </c>
      <c r="B15" s="34">
        <v>12</v>
      </c>
      <c r="C15" s="32">
        <f>ДС!P15</f>
        <v>12583.099999999999</v>
      </c>
      <c r="D15" s="77">
        <f>'МЗ-корректировка'!P15</f>
        <v>294.1</v>
      </c>
      <c r="E15" s="30">
        <f t="shared" si="0"/>
        <v>12877.199999999999</v>
      </c>
      <c r="F15" s="118">
        <f>'[1]2018'!$N14</f>
        <v>13184</v>
      </c>
      <c r="G15" s="79">
        <f t="shared" si="1"/>
        <v>-600.9000000000015</v>
      </c>
      <c r="H15" s="78"/>
      <c r="I15" s="81"/>
      <c r="J15" s="82"/>
      <c r="K15" s="82"/>
      <c r="L15" s="82"/>
      <c r="M15" s="82"/>
      <c r="N15" s="26"/>
      <c r="O15" s="82"/>
      <c r="P15" s="82"/>
      <c r="Q15" s="26"/>
      <c r="R15" s="26"/>
    </row>
    <row r="16" spans="1:18" ht="15.75">
      <c r="A16" s="11" t="s">
        <v>12</v>
      </c>
      <c r="B16" s="34">
        <v>12</v>
      </c>
      <c r="C16" s="32">
        <f>ДС!P16</f>
        <v>5511.5</v>
      </c>
      <c r="D16" s="77">
        <f>'МЗ-корректировка'!P16</f>
        <v>125.3</v>
      </c>
      <c r="E16" s="30">
        <f t="shared" si="0"/>
        <v>5636.8</v>
      </c>
      <c r="F16" s="118">
        <f>'[1]2018'!$N15</f>
        <v>5393.2</v>
      </c>
      <c r="G16" s="79">
        <f t="shared" si="1"/>
        <v>118.30000000000018</v>
      </c>
      <c r="H16" s="78"/>
      <c r="I16" s="81"/>
      <c r="J16" s="82"/>
      <c r="K16" s="82"/>
      <c r="L16" s="82"/>
      <c r="M16" s="82"/>
      <c r="N16" s="26"/>
      <c r="O16" s="82"/>
      <c r="P16" s="82"/>
      <c r="Q16" s="26"/>
      <c r="R16" s="26"/>
    </row>
    <row r="17" spans="1:18" ht="15.75">
      <c r="A17" s="10" t="s">
        <v>26</v>
      </c>
      <c r="B17" s="35">
        <v>10</v>
      </c>
      <c r="C17" s="32">
        <f>ДС!P17</f>
        <v>988.7</v>
      </c>
      <c r="D17" s="77">
        <f>'МЗ-корректировка'!P17</f>
        <v>34</v>
      </c>
      <c r="E17" s="30">
        <f t="shared" si="0"/>
        <v>1022.7</v>
      </c>
      <c r="F17" s="118">
        <f>'[1]2018'!$N16</f>
        <v>1337</v>
      </c>
      <c r="G17" s="79">
        <f t="shared" si="1"/>
        <v>-348.29999999999995</v>
      </c>
      <c r="H17" s="78"/>
      <c r="I17" s="81"/>
      <c r="J17" s="82"/>
      <c r="K17" s="82"/>
      <c r="L17" s="82"/>
      <c r="M17" s="82"/>
      <c r="N17" s="105"/>
      <c r="O17" s="82"/>
      <c r="P17" s="82"/>
      <c r="Q17" s="26"/>
      <c r="R17" s="26"/>
    </row>
    <row r="18" spans="1:18" ht="15.75">
      <c r="A18" s="10" t="s">
        <v>25</v>
      </c>
      <c r="B18" s="35">
        <v>10</v>
      </c>
      <c r="C18" s="32">
        <f>ДС!P18</f>
        <v>950.7</v>
      </c>
      <c r="D18" s="77">
        <f>'МЗ-корректировка'!P18</f>
        <v>37.5</v>
      </c>
      <c r="E18" s="30">
        <f t="shared" si="0"/>
        <v>988.2</v>
      </c>
      <c r="F18" s="118">
        <f>'[1]2018'!$N17</f>
        <v>1693.9</v>
      </c>
      <c r="G18" s="79">
        <f t="shared" si="1"/>
        <v>-743.2</v>
      </c>
      <c r="H18" s="78"/>
      <c r="I18" s="81"/>
      <c r="J18" s="82"/>
      <c r="K18" s="82"/>
      <c r="L18" s="82"/>
      <c r="M18" s="82"/>
      <c r="N18" s="105"/>
      <c r="O18" s="82"/>
      <c r="P18" s="82"/>
      <c r="Q18" s="106"/>
      <c r="R18" s="26"/>
    </row>
    <row r="19" spans="1:18" ht="15.75">
      <c r="A19" s="10" t="s">
        <v>13</v>
      </c>
      <c r="B19" s="35">
        <v>10</v>
      </c>
      <c r="C19" s="32">
        <f>ДС!P19</f>
        <v>3270.4</v>
      </c>
      <c r="D19" s="77">
        <f>'МЗ-корректировка'!P19</f>
        <v>49</v>
      </c>
      <c r="E19" s="30">
        <f t="shared" si="0"/>
        <v>3319.4</v>
      </c>
      <c r="F19" s="118">
        <f>'[1]2018'!$N18</f>
        <v>2898.7</v>
      </c>
      <c r="G19" s="79">
        <f t="shared" si="1"/>
        <v>371.7000000000003</v>
      </c>
      <c r="H19" s="78"/>
      <c r="I19" s="81"/>
      <c r="J19" s="82"/>
      <c r="K19" s="82"/>
      <c r="L19" s="82"/>
      <c r="M19" s="82"/>
      <c r="N19" s="105"/>
      <c r="O19" s="82"/>
      <c r="P19" s="82"/>
      <c r="Q19" s="26"/>
      <c r="R19" s="26"/>
    </row>
    <row r="20" spans="1:18" ht="15.75">
      <c r="A20" s="10" t="s">
        <v>14</v>
      </c>
      <c r="B20" s="35">
        <v>10</v>
      </c>
      <c r="C20" s="32">
        <f>ДС!P20</f>
        <v>1899.5</v>
      </c>
      <c r="D20" s="77">
        <f>'МЗ-корректировка'!P20</f>
        <v>30</v>
      </c>
      <c r="E20" s="30">
        <f t="shared" si="0"/>
        <v>1929.5</v>
      </c>
      <c r="F20" s="118">
        <f>'[1]2018'!$N19</f>
        <v>2120.5</v>
      </c>
      <c r="G20" s="79">
        <f t="shared" si="1"/>
        <v>-221</v>
      </c>
      <c r="H20" s="78"/>
      <c r="I20" s="81"/>
      <c r="J20" s="82"/>
      <c r="K20" s="82"/>
      <c r="L20" s="82"/>
      <c r="M20" s="82"/>
      <c r="N20" s="105"/>
      <c r="O20" s="82"/>
      <c r="P20" s="82"/>
      <c r="Q20" s="106"/>
      <c r="R20" s="26"/>
    </row>
    <row r="21" spans="1:18" ht="15.75">
      <c r="A21" s="10" t="s">
        <v>15</v>
      </c>
      <c r="B21" s="35">
        <v>10</v>
      </c>
      <c r="C21" s="32">
        <f>ДС!P21</f>
        <v>1901.4</v>
      </c>
      <c r="D21" s="77">
        <f>'МЗ-корректировка'!P21</f>
        <v>51.6</v>
      </c>
      <c r="E21" s="30">
        <f t="shared" si="0"/>
        <v>1953</v>
      </c>
      <c r="F21" s="118">
        <f>'[1]2018'!$N20</f>
        <v>2059.6</v>
      </c>
      <c r="G21" s="79">
        <f t="shared" si="1"/>
        <v>-158.19999999999982</v>
      </c>
      <c r="H21" s="78"/>
      <c r="I21" s="81"/>
      <c r="J21" s="82"/>
      <c r="K21" s="82"/>
      <c r="L21" s="82"/>
      <c r="M21" s="82"/>
      <c r="N21" s="105"/>
      <c r="O21" s="82"/>
      <c r="P21" s="82"/>
      <c r="Q21" s="26"/>
      <c r="R21" s="26"/>
    </row>
    <row r="22" spans="1:18" s="12" customFormat="1" ht="16.5" customHeight="1">
      <c r="A22" s="11" t="s">
        <v>16</v>
      </c>
      <c r="B22" s="36">
        <v>10</v>
      </c>
      <c r="C22" s="32">
        <f>ДС!P22</f>
        <v>2433.8</v>
      </c>
      <c r="D22" s="77">
        <f>'МЗ-корректировка'!P22</f>
        <v>48</v>
      </c>
      <c r="E22" s="30">
        <f t="shared" si="0"/>
        <v>2481.8</v>
      </c>
      <c r="F22" s="118">
        <f>'[1]2018'!$N21</f>
        <v>2250.2</v>
      </c>
      <c r="G22" s="79">
        <f t="shared" si="1"/>
        <v>183.60000000000036</v>
      </c>
      <c r="H22" s="78"/>
      <c r="I22" s="81"/>
      <c r="J22" s="82"/>
      <c r="K22" s="82"/>
      <c r="L22" s="82"/>
      <c r="M22" s="107"/>
      <c r="N22" s="108"/>
      <c r="O22" s="82"/>
      <c r="P22" s="82"/>
      <c r="Q22" s="109"/>
      <c r="R22" s="109"/>
    </row>
    <row r="23" spans="1:18" ht="19.5" customHeight="1">
      <c r="A23" s="10" t="s">
        <v>27</v>
      </c>
      <c r="B23" s="35">
        <v>9</v>
      </c>
      <c r="C23" s="32">
        <f>ДС!P23</f>
        <v>865.6</v>
      </c>
      <c r="D23" s="77">
        <f>'МЗ-корректировка'!P23</f>
        <v>18.8</v>
      </c>
      <c r="E23" s="30">
        <f t="shared" si="0"/>
        <v>884.4</v>
      </c>
      <c r="F23" s="118">
        <f>'[1]2018'!$N22</f>
        <v>1231.7</v>
      </c>
      <c r="G23" s="79">
        <f t="shared" si="1"/>
        <v>-366.1</v>
      </c>
      <c r="H23" s="78"/>
      <c r="I23" s="81"/>
      <c r="J23" s="82"/>
      <c r="K23" s="82"/>
      <c r="L23" s="82"/>
      <c r="M23" s="82"/>
      <c r="N23" s="105"/>
      <c r="O23" s="82"/>
      <c r="P23" s="82"/>
      <c r="Q23" s="106"/>
      <c r="R23" s="26"/>
    </row>
    <row r="24" spans="1:18" ht="19.5" customHeight="1">
      <c r="A24" s="10" t="s">
        <v>28</v>
      </c>
      <c r="B24" s="35">
        <v>9</v>
      </c>
      <c r="C24" s="32">
        <f>ДС!P24</f>
        <v>863.5</v>
      </c>
      <c r="D24" s="77">
        <f>'МЗ-корректировка'!P24</f>
        <v>24</v>
      </c>
      <c r="E24" s="30">
        <f t="shared" si="0"/>
        <v>887.5</v>
      </c>
      <c r="F24" s="118">
        <f>'[1]2018'!$N23</f>
        <v>1211.5</v>
      </c>
      <c r="G24" s="79">
        <f t="shared" si="1"/>
        <v>-348</v>
      </c>
      <c r="H24" s="78"/>
      <c r="I24" s="81"/>
      <c r="J24" s="82"/>
      <c r="K24" s="82"/>
      <c r="L24" s="82"/>
      <c r="M24" s="82"/>
      <c r="N24" s="105"/>
      <c r="O24" s="82"/>
      <c r="P24" s="82"/>
      <c r="Q24" s="26"/>
      <c r="R24" s="26"/>
    </row>
    <row r="25" spans="1:18" ht="19.5" customHeight="1">
      <c r="A25" s="10" t="s">
        <v>29</v>
      </c>
      <c r="B25" s="35">
        <v>9</v>
      </c>
      <c r="C25" s="32">
        <f>ДС!P25</f>
        <v>863.5</v>
      </c>
      <c r="D25" s="77">
        <f>'МЗ-корректировка'!P25</f>
        <v>31.4</v>
      </c>
      <c r="E25" s="30">
        <f t="shared" si="0"/>
        <v>894.9</v>
      </c>
      <c r="F25" s="118">
        <f>'[1]2018'!$N24</f>
        <v>1196.5</v>
      </c>
      <c r="G25" s="79">
        <f t="shared" si="1"/>
        <v>-333</v>
      </c>
      <c r="H25" s="78"/>
      <c r="I25" s="81"/>
      <c r="J25" s="82"/>
      <c r="K25" s="82"/>
      <c r="L25" s="82"/>
      <c r="M25" s="82"/>
      <c r="N25" s="105"/>
      <c r="O25" s="82"/>
      <c r="P25" s="82"/>
      <c r="Q25" s="106"/>
      <c r="R25" s="26"/>
    </row>
    <row r="26" spans="1:18" ht="27.75" customHeight="1">
      <c r="A26" s="10" t="s">
        <v>30</v>
      </c>
      <c r="B26" s="35">
        <v>10</v>
      </c>
      <c r="C26" s="32">
        <f>ДС!P26</f>
        <v>1026.8</v>
      </c>
      <c r="D26" s="77">
        <f>'МЗ-корректировка'!P26</f>
        <v>32.4</v>
      </c>
      <c r="E26" s="30">
        <f t="shared" si="0"/>
        <v>1059.2</v>
      </c>
      <c r="F26" s="118">
        <f>'[1]2018'!$N25</f>
        <v>1335</v>
      </c>
      <c r="G26" s="79">
        <f t="shared" si="1"/>
        <v>-308.20000000000005</v>
      </c>
      <c r="H26" s="78"/>
      <c r="I26" s="81"/>
      <c r="J26" s="82"/>
      <c r="K26" s="82"/>
      <c r="L26" s="82"/>
      <c r="M26" s="82"/>
      <c r="N26" s="105"/>
      <c r="O26" s="82"/>
      <c r="P26" s="82"/>
      <c r="Q26" s="106"/>
      <c r="R26" s="26"/>
    </row>
    <row r="27" spans="1:18" ht="22.5" customHeight="1">
      <c r="A27" s="10" t="s">
        <v>17</v>
      </c>
      <c r="B27" s="37">
        <v>10</v>
      </c>
      <c r="C27" s="32">
        <f>ДС!P27</f>
        <v>3793.3</v>
      </c>
      <c r="D27" s="77">
        <f>'МЗ-корректировка'!P27</f>
        <v>71.8</v>
      </c>
      <c r="E27" s="30">
        <f t="shared" si="0"/>
        <v>3865.1000000000004</v>
      </c>
      <c r="F27" s="118">
        <f>'[1]2018'!$N26</f>
        <v>3963</v>
      </c>
      <c r="G27" s="79">
        <f t="shared" si="1"/>
        <v>-169.69999999999982</v>
      </c>
      <c r="H27" s="78"/>
      <c r="I27" s="81"/>
      <c r="J27" s="82"/>
      <c r="K27" s="82"/>
      <c r="L27" s="82"/>
      <c r="M27" s="82"/>
      <c r="N27" s="105"/>
      <c r="O27" s="82"/>
      <c r="P27" s="82"/>
      <c r="Q27" s="26"/>
      <c r="R27" s="26"/>
    </row>
    <row r="28" spans="1:18" ht="18.75" customHeight="1">
      <c r="A28" s="10" t="s">
        <v>18</v>
      </c>
      <c r="B28" s="35">
        <v>10</v>
      </c>
      <c r="C28" s="32">
        <f>ДС!P28</f>
        <v>4652.6</v>
      </c>
      <c r="D28" s="77">
        <f>'МЗ-корректировка'!P28</f>
        <v>88.6</v>
      </c>
      <c r="E28" s="30">
        <f t="shared" si="0"/>
        <v>4741.200000000001</v>
      </c>
      <c r="F28" s="118">
        <f>'[1]2018'!$N27</f>
        <v>5069.7</v>
      </c>
      <c r="G28" s="79">
        <f t="shared" si="1"/>
        <v>-417.09999999999945</v>
      </c>
      <c r="H28" s="78"/>
      <c r="I28" s="81"/>
      <c r="J28" s="82"/>
      <c r="K28" s="82"/>
      <c r="L28" s="82"/>
      <c r="M28" s="82"/>
      <c r="N28" s="105"/>
      <c r="O28" s="82"/>
      <c r="P28" s="82"/>
      <c r="Q28" s="26"/>
      <c r="R28" s="26"/>
    </row>
    <row r="29" spans="1:18" s="12" customFormat="1" ht="25.5" customHeight="1">
      <c r="A29" s="11" t="s">
        <v>19</v>
      </c>
      <c r="B29" s="36">
        <v>10</v>
      </c>
      <c r="C29" s="32">
        <f>ДС!P29</f>
        <v>7625.6</v>
      </c>
      <c r="D29" s="77">
        <f>'МЗ-корректировка'!P29</f>
        <v>94.5</v>
      </c>
      <c r="E29" s="30">
        <f t="shared" si="0"/>
        <v>7720.1</v>
      </c>
      <c r="F29" s="118">
        <f>'[1]2018'!$N28</f>
        <v>6595.6</v>
      </c>
      <c r="G29" s="79">
        <f t="shared" si="1"/>
        <v>1030</v>
      </c>
      <c r="H29" s="78"/>
      <c r="I29" s="81"/>
      <c r="J29" s="82"/>
      <c r="K29" s="82"/>
      <c r="L29" s="82"/>
      <c r="M29" s="107"/>
      <c r="N29" s="108"/>
      <c r="O29" s="82"/>
      <c r="P29" s="82"/>
      <c r="Q29" s="109"/>
      <c r="R29" s="109"/>
    </row>
    <row r="30" spans="1:18" ht="15.75">
      <c r="A30" s="10" t="s">
        <v>20</v>
      </c>
      <c r="B30" s="35">
        <v>10</v>
      </c>
      <c r="C30" s="32">
        <f>ДС!P30</f>
        <v>5441</v>
      </c>
      <c r="D30" s="77">
        <f>'МЗ-корректировка'!P30</f>
        <v>92.39999999999999</v>
      </c>
      <c r="E30" s="30">
        <f t="shared" si="0"/>
        <v>5533.4</v>
      </c>
      <c r="F30" s="118">
        <f>'[1]2018'!$N29</f>
        <v>4540.6</v>
      </c>
      <c r="G30" s="79">
        <f t="shared" si="1"/>
        <v>900.3999999999996</v>
      </c>
      <c r="H30" s="78"/>
      <c r="I30" s="81"/>
      <c r="J30" s="82"/>
      <c r="K30" s="82"/>
      <c r="L30" s="82"/>
      <c r="M30" s="82"/>
      <c r="N30" s="26"/>
      <c r="O30" s="82"/>
      <c r="P30" s="82"/>
      <c r="Q30" s="26"/>
      <c r="R30" s="26"/>
    </row>
    <row r="31" spans="1:18" ht="15.75">
      <c r="A31" s="10" t="s">
        <v>21</v>
      </c>
      <c r="B31" s="35">
        <v>10</v>
      </c>
      <c r="C31" s="32">
        <f>ДС!P31</f>
        <v>5870.1</v>
      </c>
      <c r="D31" s="77">
        <f>'МЗ-корректировка'!P31</f>
        <v>66.3</v>
      </c>
      <c r="E31" s="30">
        <f t="shared" si="0"/>
        <v>5936.400000000001</v>
      </c>
      <c r="F31" s="118">
        <f>'[1]2018'!$N30</f>
        <v>5304.2</v>
      </c>
      <c r="G31" s="79">
        <f t="shared" si="1"/>
        <v>565.9000000000005</v>
      </c>
      <c r="H31" s="78"/>
      <c r="I31" s="81"/>
      <c r="J31" s="82"/>
      <c r="K31" s="82"/>
      <c r="L31" s="82"/>
      <c r="M31" s="82"/>
      <c r="N31" s="26"/>
      <c r="O31" s="82"/>
      <c r="P31" s="82"/>
      <c r="Q31" s="26"/>
      <c r="R31" s="26"/>
    </row>
    <row r="32" spans="1:18" ht="20.25" customHeight="1">
      <c r="A32" s="10" t="s">
        <v>31</v>
      </c>
      <c r="B32" s="35">
        <v>10</v>
      </c>
      <c r="C32" s="32">
        <f>ДС!P32</f>
        <v>950.7</v>
      </c>
      <c r="D32" s="77">
        <f>'МЗ-корректировка'!P32</f>
        <v>25.5</v>
      </c>
      <c r="E32" s="30">
        <f t="shared" si="0"/>
        <v>976.2</v>
      </c>
      <c r="F32" s="118">
        <f>'[1]2018'!$N31</f>
        <v>1247.3</v>
      </c>
      <c r="G32" s="79">
        <f t="shared" si="1"/>
        <v>-296.5999999999999</v>
      </c>
      <c r="H32" s="78"/>
      <c r="I32" s="81"/>
      <c r="J32" s="82"/>
      <c r="K32" s="82"/>
      <c r="L32" s="82"/>
      <c r="M32" s="82"/>
      <c r="N32" s="105"/>
      <c r="O32" s="82"/>
      <c r="P32" s="82"/>
      <c r="Q32" s="106"/>
      <c r="R32" s="26"/>
    </row>
    <row r="33" spans="1:18" ht="15.75">
      <c r="A33" s="10" t="s">
        <v>32</v>
      </c>
      <c r="B33" s="35">
        <v>10</v>
      </c>
      <c r="C33" s="32">
        <f>ДС!P33</f>
        <v>951.5</v>
      </c>
      <c r="D33" s="77">
        <f>'МЗ-корректировка'!P33</f>
        <v>30</v>
      </c>
      <c r="E33" s="30">
        <f t="shared" si="0"/>
        <v>981.5</v>
      </c>
      <c r="F33" s="118">
        <f>'[1]2018'!$N32</f>
        <v>1307.4</v>
      </c>
      <c r="G33" s="79">
        <f t="shared" si="1"/>
        <v>-355.9000000000001</v>
      </c>
      <c r="H33" s="78"/>
      <c r="I33" s="81"/>
      <c r="J33" s="82"/>
      <c r="K33" s="82"/>
      <c r="L33" s="82"/>
      <c r="M33" s="82"/>
      <c r="N33" s="105"/>
      <c r="O33" s="82"/>
      <c r="P33" s="82"/>
      <c r="Q33" s="26"/>
      <c r="R33" s="26"/>
    </row>
    <row r="34" spans="1:18" ht="21" customHeight="1">
      <c r="A34" s="10" t="s">
        <v>22</v>
      </c>
      <c r="B34" s="35">
        <v>10</v>
      </c>
      <c r="C34" s="32">
        <f>ДС!P34</f>
        <v>2357.7</v>
      </c>
      <c r="D34" s="77">
        <f>'МЗ-корректировка'!P34</f>
        <v>45.4</v>
      </c>
      <c r="E34" s="30">
        <f t="shared" si="0"/>
        <v>2403.1</v>
      </c>
      <c r="F34" s="118">
        <f>'[1]2018'!$N33</f>
        <v>2029.6</v>
      </c>
      <c r="G34" s="79">
        <f t="shared" si="1"/>
        <v>328.0999999999999</v>
      </c>
      <c r="H34" s="78"/>
      <c r="I34" s="81"/>
      <c r="J34" s="82"/>
      <c r="K34" s="82"/>
      <c r="L34" s="82"/>
      <c r="M34" s="82"/>
      <c r="N34" s="105"/>
      <c r="O34" s="82"/>
      <c r="P34" s="82"/>
      <c r="Q34" s="26"/>
      <c r="R34" s="26"/>
    </row>
    <row r="35" spans="1:18" ht="21" customHeight="1">
      <c r="A35" s="10" t="s">
        <v>33</v>
      </c>
      <c r="B35" s="35">
        <v>9</v>
      </c>
      <c r="C35" s="32">
        <f>ДС!P35</f>
        <v>863.5</v>
      </c>
      <c r="D35" s="77">
        <f>'МЗ-корректировка'!P35</f>
        <v>23.2</v>
      </c>
      <c r="E35" s="30">
        <f t="shared" si="0"/>
        <v>886.7</v>
      </c>
      <c r="F35" s="118">
        <f>'[1]2018'!$N34</f>
        <v>1209</v>
      </c>
      <c r="G35" s="79">
        <f t="shared" si="1"/>
        <v>-345.5</v>
      </c>
      <c r="H35" s="78"/>
      <c r="I35" s="81"/>
      <c r="J35" s="82"/>
      <c r="K35" s="82"/>
      <c r="L35" s="82"/>
      <c r="M35" s="82"/>
      <c r="N35" s="105"/>
      <c r="O35" s="82"/>
      <c r="P35" s="82"/>
      <c r="Q35" s="26"/>
      <c r="R35" s="26"/>
    </row>
    <row r="36" spans="1:18" ht="15.75">
      <c r="A36" s="10" t="s">
        <v>34</v>
      </c>
      <c r="B36" s="35">
        <v>10</v>
      </c>
      <c r="C36" s="32">
        <f>ДС!P36</f>
        <v>1898</v>
      </c>
      <c r="D36" s="77">
        <f>'МЗ-корректировка'!P36</f>
        <v>34.4</v>
      </c>
      <c r="E36" s="30">
        <f t="shared" si="0"/>
        <v>1932.4</v>
      </c>
      <c r="F36" s="118">
        <f>'[1]2018'!$N35</f>
        <v>1969.4</v>
      </c>
      <c r="G36" s="79">
        <f t="shared" si="1"/>
        <v>-71.40000000000009</v>
      </c>
      <c r="H36" s="78"/>
      <c r="I36" s="81"/>
      <c r="J36" s="82"/>
      <c r="K36" s="82"/>
      <c r="L36" s="82"/>
      <c r="M36" s="82"/>
      <c r="N36" s="105"/>
      <c r="O36" s="82"/>
      <c r="P36" s="82"/>
      <c r="Q36" s="26"/>
      <c r="R36" s="26"/>
    </row>
    <row r="37" spans="1:18" ht="15.75">
      <c r="A37" s="10" t="s">
        <v>35</v>
      </c>
      <c r="B37" s="35">
        <v>10</v>
      </c>
      <c r="C37" s="32">
        <f>ДС!P37</f>
        <v>988.7</v>
      </c>
      <c r="D37" s="77">
        <f>'МЗ-корректировка'!P37</f>
        <v>33.5</v>
      </c>
      <c r="E37" s="30">
        <f t="shared" si="0"/>
        <v>1022.2</v>
      </c>
      <c r="F37" s="118">
        <f>'[1]2018'!$N36</f>
        <v>1397.1</v>
      </c>
      <c r="G37" s="79">
        <f t="shared" si="1"/>
        <v>-408.39999999999986</v>
      </c>
      <c r="H37" s="78"/>
      <c r="I37" s="81"/>
      <c r="J37" s="82"/>
      <c r="K37" s="82"/>
      <c r="L37" s="82"/>
      <c r="M37" s="82"/>
      <c r="N37" s="105"/>
      <c r="O37" s="82"/>
      <c r="P37" s="82"/>
      <c r="Q37" s="26"/>
      <c r="R37" s="26"/>
    </row>
    <row r="38" spans="1:18" ht="15.75">
      <c r="A38" s="10" t="s">
        <v>36</v>
      </c>
      <c r="B38" s="35">
        <v>10</v>
      </c>
      <c r="C38" s="32">
        <f>ДС!P38</f>
        <v>1900.6</v>
      </c>
      <c r="D38" s="77">
        <f>'МЗ-корректировка'!P38</f>
        <v>42.9</v>
      </c>
      <c r="E38" s="30">
        <f t="shared" si="0"/>
        <v>1943.5</v>
      </c>
      <c r="F38" s="118">
        <f>'[1]2018'!$N37</f>
        <v>2261.1</v>
      </c>
      <c r="G38" s="79">
        <f t="shared" si="1"/>
        <v>-360.5</v>
      </c>
      <c r="H38" s="78"/>
      <c r="I38" s="81"/>
      <c r="J38" s="82"/>
      <c r="K38" s="82"/>
      <c r="L38" s="82"/>
      <c r="M38" s="82"/>
      <c r="N38" s="105"/>
      <c r="O38" s="82"/>
      <c r="P38" s="82"/>
      <c r="Q38" s="106"/>
      <c r="R38" s="26"/>
    </row>
    <row r="39" spans="1:18" s="12" customFormat="1" ht="16.5" customHeight="1">
      <c r="A39" s="11" t="s">
        <v>37</v>
      </c>
      <c r="B39" s="36">
        <v>9</v>
      </c>
      <c r="C39" s="32">
        <f>ДС!P39</f>
        <v>867.6</v>
      </c>
      <c r="D39" s="77">
        <f>'МЗ-корректировка'!P39</f>
        <v>22.6</v>
      </c>
      <c r="E39" s="30">
        <f t="shared" si="0"/>
        <v>890.2</v>
      </c>
      <c r="F39" s="118">
        <f>'[1]2018'!$N38</f>
        <v>1219.1</v>
      </c>
      <c r="G39" s="79">
        <f t="shared" si="1"/>
        <v>-351.4999999999999</v>
      </c>
      <c r="H39" s="78"/>
      <c r="I39" s="81"/>
      <c r="J39" s="82"/>
      <c r="K39" s="82"/>
      <c r="L39" s="82"/>
      <c r="M39" s="107"/>
      <c r="N39" s="108"/>
      <c r="O39" s="82"/>
      <c r="P39" s="82"/>
      <c r="Q39" s="109"/>
      <c r="R39" s="109"/>
    </row>
    <row r="40" spans="1:18" s="12" customFormat="1" ht="15" customHeight="1">
      <c r="A40" s="11" t="s">
        <v>38</v>
      </c>
      <c r="B40" s="36">
        <v>10</v>
      </c>
      <c r="C40" s="32">
        <f>ДС!P40</f>
        <v>1900.6</v>
      </c>
      <c r="D40" s="77">
        <f>'МЗ-корректировка'!P40</f>
        <v>42</v>
      </c>
      <c r="E40" s="30">
        <f t="shared" si="0"/>
        <v>1942.6</v>
      </c>
      <c r="F40" s="118">
        <f>'[1]2018'!$N39</f>
        <v>2179.5</v>
      </c>
      <c r="G40" s="79">
        <f t="shared" si="1"/>
        <v>-278.9000000000001</v>
      </c>
      <c r="H40" s="78"/>
      <c r="I40" s="81"/>
      <c r="J40" s="82"/>
      <c r="K40" s="82"/>
      <c r="L40" s="82"/>
      <c r="M40" s="107"/>
      <c r="N40" s="108"/>
      <c r="O40" s="82"/>
      <c r="P40" s="82"/>
      <c r="Q40" s="109"/>
      <c r="R40" s="109"/>
    </row>
    <row r="41" spans="1:18" ht="18.75" customHeight="1">
      <c r="A41" s="10" t="s">
        <v>39</v>
      </c>
      <c r="B41" s="35">
        <v>10</v>
      </c>
      <c r="C41" s="32">
        <f>ДС!P41</f>
        <v>2851</v>
      </c>
      <c r="D41" s="77">
        <f>'МЗ-корректировка'!P41</f>
        <v>57.6</v>
      </c>
      <c r="E41" s="30">
        <f t="shared" si="0"/>
        <v>2908.6</v>
      </c>
      <c r="F41" s="118">
        <f>'[1]2018'!$N40</f>
        <v>2996</v>
      </c>
      <c r="G41" s="79">
        <f t="shared" si="1"/>
        <v>-145</v>
      </c>
      <c r="H41" s="78"/>
      <c r="I41" s="81"/>
      <c r="J41" s="82"/>
      <c r="K41" s="82"/>
      <c r="L41" s="82"/>
      <c r="M41" s="82"/>
      <c r="N41" s="105"/>
      <c r="O41" s="82"/>
      <c r="P41" s="82"/>
      <c r="Q41" s="26"/>
      <c r="R41" s="26"/>
    </row>
    <row r="42" spans="1:18" ht="15.75">
      <c r="A42" s="10" t="s">
        <v>40</v>
      </c>
      <c r="B42" s="35">
        <v>9</v>
      </c>
      <c r="C42" s="32">
        <f>ДС!P42</f>
        <v>863.5</v>
      </c>
      <c r="D42" s="77">
        <f>'МЗ-корректировка'!P42</f>
        <v>36.7</v>
      </c>
      <c r="E42" s="30">
        <f t="shared" si="0"/>
        <v>900.2</v>
      </c>
      <c r="F42" s="118">
        <f>'[1]2018'!$N41</f>
        <v>1214.8</v>
      </c>
      <c r="G42" s="79">
        <f t="shared" si="1"/>
        <v>-351.29999999999995</v>
      </c>
      <c r="H42" s="78"/>
      <c r="I42" s="81"/>
      <c r="J42" s="82"/>
      <c r="K42" s="82"/>
      <c r="L42" s="82"/>
      <c r="M42" s="82"/>
      <c r="N42" s="105"/>
      <c r="O42" s="82"/>
      <c r="P42" s="82"/>
      <c r="Q42" s="26"/>
      <c r="R42" s="26"/>
    </row>
    <row r="43" spans="1:18" ht="14.25" customHeight="1">
      <c r="A43" s="10" t="s">
        <v>23</v>
      </c>
      <c r="B43" s="38">
        <v>10</v>
      </c>
      <c r="C43" s="32">
        <f>ДС!P43</f>
        <v>1901.4</v>
      </c>
      <c r="D43" s="77">
        <f>'МЗ-корректировка'!P43</f>
        <v>55.5</v>
      </c>
      <c r="E43" s="30">
        <f t="shared" si="0"/>
        <v>1956.9</v>
      </c>
      <c r="F43" s="118">
        <f>'[1]2018'!$N42</f>
        <v>2023</v>
      </c>
      <c r="G43" s="79">
        <f t="shared" si="1"/>
        <v>-121.59999999999991</v>
      </c>
      <c r="H43" s="78"/>
      <c r="I43" s="81"/>
      <c r="J43" s="82"/>
      <c r="K43" s="82"/>
      <c r="L43" s="82"/>
      <c r="M43" s="82"/>
      <c r="N43" s="105"/>
      <c r="O43" s="82"/>
      <c r="P43" s="82"/>
      <c r="Q43" s="26"/>
      <c r="R43" s="26"/>
    </row>
    <row r="44" spans="1:18" ht="15.75">
      <c r="A44" s="10" t="s">
        <v>41</v>
      </c>
      <c r="B44" s="35">
        <v>10</v>
      </c>
      <c r="C44" s="32">
        <f>ДС!P44</f>
        <v>953.7</v>
      </c>
      <c r="D44" s="77">
        <f>'МЗ-корректировка'!P44</f>
        <v>27.1</v>
      </c>
      <c r="E44" s="30">
        <f t="shared" si="0"/>
        <v>980.8000000000001</v>
      </c>
      <c r="F44" s="118">
        <f>'[1]2018'!$N43</f>
        <v>1320.8</v>
      </c>
      <c r="G44" s="79">
        <f t="shared" si="1"/>
        <v>-367.0999999999999</v>
      </c>
      <c r="H44" s="78"/>
      <c r="I44" s="81"/>
      <c r="J44" s="82"/>
      <c r="K44" s="82"/>
      <c r="L44" s="82"/>
      <c r="M44" s="82"/>
      <c r="N44" s="105"/>
      <c r="O44" s="82"/>
      <c r="P44" s="82"/>
      <c r="Q44" s="26"/>
      <c r="R44" s="26"/>
    </row>
    <row r="45" spans="1:18" ht="15.75">
      <c r="A45" s="10" t="s">
        <v>42</v>
      </c>
      <c r="B45" s="35">
        <v>9</v>
      </c>
      <c r="C45" s="32">
        <f>ДС!P45</f>
        <v>864.5</v>
      </c>
      <c r="D45" s="77">
        <f>'МЗ-корректировка'!P45</f>
        <v>18.7</v>
      </c>
      <c r="E45" s="30">
        <f t="shared" si="0"/>
        <v>883.2</v>
      </c>
      <c r="F45" s="118">
        <f>'[1]2018'!$N44</f>
        <v>1185.4</v>
      </c>
      <c r="G45" s="79">
        <f t="shared" si="1"/>
        <v>-320.9000000000001</v>
      </c>
      <c r="H45" s="78"/>
      <c r="I45" s="81"/>
      <c r="J45" s="82"/>
      <c r="K45" s="82"/>
      <c r="L45" s="82"/>
      <c r="M45" s="82"/>
      <c r="N45" s="105"/>
      <c r="O45" s="82"/>
      <c r="P45" s="82"/>
      <c r="Q45" s="26"/>
      <c r="R45" s="26"/>
    </row>
    <row r="46" spans="1:18" ht="22.5" customHeight="1">
      <c r="A46" s="10" t="s">
        <v>43</v>
      </c>
      <c r="B46" s="35">
        <v>10</v>
      </c>
      <c r="C46" s="32">
        <f>ДС!P46</f>
        <v>952.6</v>
      </c>
      <c r="D46" s="77">
        <f>'МЗ-корректировка'!P46</f>
        <v>52.6</v>
      </c>
      <c r="E46" s="30">
        <f t="shared" si="0"/>
        <v>1005.2</v>
      </c>
      <c r="F46" s="118">
        <f>'[1]2018'!$N45</f>
        <v>1353.8</v>
      </c>
      <c r="G46" s="79">
        <f t="shared" si="1"/>
        <v>-401.19999999999993</v>
      </c>
      <c r="H46" s="78"/>
      <c r="I46" s="81"/>
      <c r="J46" s="82"/>
      <c r="K46" s="82"/>
      <c r="L46" s="82"/>
      <c r="M46" s="82"/>
      <c r="N46" s="105"/>
      <c r="O46" s="82"/>
      <c r="P46" s="82"/>
      <c r="Q46" s="106"/>
      <c r="R46" s="26"/>
    </row>
    <row r="47" spans="1:18" ht="15.75">
      <c r="A47" s="10" t="s">
        <v>24</v>
      </c>
      <c r="B47" s="35">
        <v>9</v>
      </c>
      <c r="C47" s="32">
        <f>ДС!P47</f>
        <v>799.8</v>
      </c>
      <c r="D47" s="77">
        <f>'МЗ-корректировка'!P47</f>
        <v>9.1</v>
      </c>
      <c r="E47" s="30">
        <f t="shared" si="0"/>
        <v>808.9</v>
      </c>
      <c r="F47" s="118">
        <f>'[1]2018'!$N46</f>
        <v>1127.8</v>
      </c>
      <c r="G47" s="79">
        <f t="shared" si="1"/>
        <v>-328</v>
      </c>
      <c r="H47" s="78"/>
      <c r="I47" s="81"/>
      <c r="J47" s="82"/>
      <c r="K47" s="82"/>
      <c r="L47" s="82"/>
      <c r="M47" s="82"/>
      <c r="N47" s="105"/>
      <c r="O47" s="82"/>
      <c r="P47" s="82"/>
      <c r="Q47" s="26"/>
      <c r="R47" s="26"/>
    </row>
    <row r="48" spans="1:18" ht="18" customHeight="1">
      <c r="A48" s="10" t="s">
        <v>44</v>
      </c>
      <c r="B48" s="35">
        <v>10</v>
      </c>
      <c r="C48" s="32">
        <f>ДС!P48</f>
        <v>950.3</v>
      </c>
      <c r="D48" s="77">
        <f>'МЗ-корректировка'!P48</f>
        <v>30</v>
      </c>
      <c r="E48" s="30">
        <f t="shared" si="0"/>
        <v>980.3</v>
      </c>
      <c r="F48" s="118">
        <f>'[1]2018'!$N47</f>
        <v>1320.7</v>
      </c>
      <c r="G48" s="79">
        <f t="shared" si="1"/>
        <v>-370.4000000000001</v>
      </c>
      <c r="H48" s="78"/>
      <c r="I48" s="81"/>
      <c r="J48" s="82"/>
      <c r="K48" s="82"/>
      <c r="L48" s="82"/>
      <c r="M48" s="82"/>
      <c r="N48" s="105"/>
      <c r="O48" s="82"/>
      <c r="P48" s="82"/>
      <c r="Q48" s="26"/>
      <c r="R48" s="26"/>
    </row>
    <row r="49" spans="1:18" ht="34.5" customHeight="1">
      <c r="A49" s="11" t="s">
        <v>45</v>
      </c>
      <c r="B49" s="36">
        <v>9</v>
      </c>
      <c r="C49" s="32">
        <f>ДС!P49</f>
        <v>865.6</v>
      </c>
      <c r="D49" s="77">
        <f>'МЗ-корректировка'!P49</f>
        <v>19.5</v>
      </c>
      <c r="E49" s="30">
        <f t="shared" si="0"/>
        <v>885.1</v>
      </c>
      <c r="F49" s="118">
        <f>'[1]2018'!$N48</f>
        <v>1167.5</v>
      </c>
      <c r="G49" s="79">
        <f t="shared" si="1"/>
        <v>-301.9</v>
      </c>
      <c r="H49" s="78"/>
      <c r="I49" s="81"/>
      <c r="J49" s="82"/>
      <c r="K49" s="82"/>
      <c r="L49" s="82"/>
      <c r="M49" s="82"/>
      <c r="N49" s="26"/>
      <c r="O49" s="82"/>
      <c r="P49" s="82"/>
      <c r="Q49" s="26"/>
      <c r="R49" s="26"/>
    </row>
    <row r="50" spans="1:18" s="12" customFormat="1" ht="32.25" thickBot="1">
      <c r="A50" s="11" t="s">
        <v>46</v>
      </c>
      <c r="B50" s="36">
        <v>10</v>
      </c>
      <c r="C50" s="32">
        <f>ДС!P50</f>
        <v>950.3</v>
      </c>
      <c r="D50" s="77">
        <f>'МЗ-корректировка'!P50</f>
        <v>24</v>
      </c>
      <c r="E50" s="30">
        <f t="shared" si="0"/>
        <v>974.3</v>
      </c>
      <c r="F50" s="118">
        <f>'[1]2018'!$N49</f>
        <v>1296.6</v>
      </c>
      <c r="G50" s="79">
        <f t="shared" si="1"/>
        <v>-346.29999999999995</v>
      </c>
      <c r="H50" s="78"/>
      <c r="I50" s="81"/>
      <c r="J50" s="82"/>
      <c r="K50" s="82"/>
      <c r="L50" s="82"/>
      <c r="M50" s="107"/>
      <c r="N50" s="109"/>
      <c r="O50" s="82"/>
      <c r="P50" s="82"/>
      <c r="Q50" s="109"/>
      <c r="R50" s="109"/>
    </row>
    <row r="51" spans="1:18" ht="16.5" thickBot="1">
      <c r="A51" s="18" t="s">
        <v>51</v>
      </c>
      <c r="B51" s="18"/>
      <c r="C51" s="32">
        <f>SUM(C6:C50)</f>
        <v>180552.90000000002</v>
      </c>
      <c r="D51" s="30">
        <f>SUM(D6:D50)</f>
        <v>3492.1</v>
      </c>
      <c r="E51" s="30">
        <f>SUM(E6:E50)</f>
        <v>184045.00000000006</v>
      </c>
      <c r="F51" s="118">
        <f>SUM(F6:F50)</f>
        <v>186317.5</v>
      </c>
      <c r="G51" s="30">
        <f>SUM(G6:G50)</f>
        <v>-5764.600000000001</v>
      </c>
      <c r="H51" s="30"/>
      <c r="I51" s="104"/>
      <c r="J51" s="110"/>
      <c r="K51" s="110"/>
      <c r="L51" s="110"/>
      <c r="M51" s="82"/>
      <c r="N51" s="82"/>
      <c r="O51" s="82"/>
      <c r="P51" s="82"/>
      <c r="Q51" s="26"/>
      <c r="R51" s="26"/>
    </row>
    <row r="52" spans="1:18" ht="18" customHeight="1">
      <c r="A52" s="13"/>
      <c r="B52" s="13"/>
      <c r="J52" s="26"/>
      <c r="K52" s="26"/>
      <c r="L52" s="26"/>
      <c r="M52" s="26"/>
      <c r="N52" s="26"/>
      <c r="O52" s="26"/>
      <c r="P52" s="26"/>
      <c r="Q52" s="26"/>
      <c r="R52" s="26"/>
    </row>
    <row r="53" spans="1:18" ht="15.75">
      <c r="A53" s="14"/>
      <c r="B53" s="14"/>
      <c r="J53" s="26"/>
      <c r="K53" s="26"/>
      <c r="L53" s="26"/>
      <c r="M53" s="26"/>
      <c r="N53" s="26"/>
      <c r="O53" s="26"/>
      <c r="P53" s="26"/>
      <c r="Q53" s="26"/>
      <c r="R53" s="26"/>
    </row>
    <row r="54" spans="1:18" ht="15.75">
      <c r="A54" s="14"/>
      <c r="B54" s="14"/>
      <c r="E54" s="40"/>
      <c r="F54" s="119"/>
      <c r="J54" s="26"/>
      <c r="K54" s="26"/>
      <c r="L54" s="26"/>
      <c r="M54" s="26"/>
      <c r="N54" s="26"/>
      <c r="O54" s="26"/>
      <c r="P54" s="26"/>
      <c r="Q54" s="26"/>
      <c r="R54" s="26"/>
    </row>
    <row r="55" spans="1:18" ht="15.75">
      <c r="A55" s="14"/>
      <c r="B55" s="14"/>
      <c r="J55" s="26"/>
      <c r="K55" s="26"/>
      <c r="L55" s="26"/>
      <c r="M55" s="26"/>
      <c r="N55" s="26"/>
      <c r="O55" s="26"/>
      <c r="P55" s="26"/>
      <c r="Q55" s="26"/>
      <c r="R55" s="26"/>
    </row>
    <row r="56" spans="1:18" ht="15.75">
      <c r="A56" s="14"/>
      <c r="B56" s="14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5.75">
      <c r="A57" s="20"/>
      <c r="B57" s="20"/>
      <c r="J57" s="26"/>
      <c r="K57" s="26"/>
      <c r="L57" s="26"/>
      <c r="M57" s="26"/>
      <c r="N57" s="26"/>
      <c r="O57" s="26"/>
      <c r="P57" s="26"/>
      <c r="Q57" s="26"/>
      <c r="R57" s="26"/>
    </row>
    <row r="58" spans="1:18" ht="15.75">
      <c r="A58" s="20"/>
      <c r="B58" s="20"/>
      <c r="J58" s="26"/>
      <c r="K58" s="26"/>
      <c r="L58" s="26"/>
      <c r="M58" s="26"/>
      <c r="N58" s="26"/>
      <c r="O58" s="26"/>
      <c r="P58" s="26"/>
      <c r="Q58" s="26"/>
      <c r="R58" s="26"/>
    </row>
    <row r="59" spans="1:18" ht="16.5" customHeight="1">
      <c r="A59" s="14"/>
      <c r="B59" s="14"/>
      <c r="J59" s="26"/>
      <c r="K59" s="26"/>
      <c r="L59" s="26"/>
      <c r="M59" s="26"/>
      <c r="N59" s="26"/>
      <c r="O59" s="26"/>
      <c r="P59" s="26"/>
      <c r="Q59" s="26"/>
      <c r="R59" s="26"/>
    </row>
    <row r="60" spans="1:18" ht="15.75">
      <c r="A60" s="14"/>
      <c r="B60" s="14"/>
      <c r="J60" s="26"/>
      <c r="K60" s="26"/>
      <c r="L60" s="26"/>
      <c r="M60" s="26"/>
      <c r="N60" s="26"/>
      <c r="O60" s="26"/>
      <c r="P60" s="26"/>
      <c r="Q60" s="26"/>
      <c r="R60" s="26"/>
    </row>
    <row r="61" spans="1:18" ht="15.75">
      <c r="A61" s="14"/>
      <c r="B61" s="14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5.75">
      <c r="A62" s="14"/>
      <c r="B62" s="14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5.75">
      <c r="A63" s="14"/>
      <c r="B63" s="14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5.75">
      <c r="A64" s="14"/>
      <c r="B64" s="14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5.75">
      <c r="A65" s="21"/>
      <c r="B65" s="21"/>
      <c r="J65" s="26"/>
      <c r="K65" s="26"/>
      <c r="L65" s="26"/>
      <c r="M65" s="26"/>
      <c r="N65" s="26"/>
      <c r="O65" s="26"/>
      <c r="P65" s="26"/>
      <c r="Q65" s="26"/>
      <c r="R65" s="26"/>
    </row>
    <row r="66" spans="1:18" s="17" customFormat="1" ht="16.5" customHeight="1">
      <c r="A66" s="324"/>
      <c r="B66" s="324"/>
      <c r="C66" s="116"/>
      <c r="F66" s="120"/>
      <c r="J66" s="111"/>
      <c r="K66" s="111"/>
      <c r="L66" s="111"/>
      <c r="M66" s="111"/>
      <c r="N66" s="111"/>
      <c r="O66" s="111"/>
      <c r="P66" s="111"/>
      <c r="Q66" s="111"/>
      <c r="R66" s="111"/>
    </row>
    <row r="67" spans="1:18" ht="15.75">
      <c r="A67" s="20"/>
      <c r="B67" s="20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5.75">
      <c r="A68" s="20"/>
      <c r="B68" s="20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5.75">
      <c r="A69" s="20"/>
      <c r="B69" s="20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5.75">
      <c r="A70" s="20"/>
      <c r="B70" s="20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8" customHeight="1">
      <c r="A71" s="20"/>
      <c r="B71" s="20"/>
      <c r="J71" s="26"/>
      <c r="K71" s="26"/>
      <c r="L71" s="26"/>
      <c r="M71" s="26"/>
      <c r="N71" s="26"/>
      <c r="O71" s="26"/>
      <c r="P71" s="26"/>
      <c r="Q71" s="26"/>
      <c r="R71" s="26"/>
    </row>
    <row r="72" spans="1:2" ht="15.75">
      <c r="A72" s="20"/>
      <c r="B72" s="20"/>
    </row>
    <row r="73" spans="1:2" ht="15.75">
      <c r="A73" s="20"/>
      <c r="B73" s="20"/>
    </row>
    <row r="74" spans="1:2" ht="15.75">
      <c r="A74" s="20"/>
      <c r="B74" s="20"/>
    </row>
    <row r="75" spans="1:2" ht="15.75">
      <c r="A75" s="20"/>
      <c r="B75" s="20"/>
    </row>
    <row r="76" spans="1:2" ht="15.75">
      <c r="A76" s="20"/>
      <c r="B76" s="20"/>
    </row>
    <row r="77" spans="1:2" ht="15.75">
      <c r="A77" s="14"/>
      <c r="B77" s="14"/>
    </row>
    <row r="78" spans="1:2" ht="15.75">
      <c r="A78" s="14"/>
      <c r="B78" s="14"/>
    </row>
    <row r="79" spans="1:2" ht="15.75">
      <c r="A79" s="14"/>
      <c r="B79" s="14"/>
    </row>
    <row r="80" spans="1:2" ht="15.75">
      <c r="A80" s="14"/>
      <c r="B80" s="14"/>
    </row>
    <row r="81" spans="1:2" ht="15.75">
      <c r="A81" s="14"/>
      <c r="B81" s="14"/>
    </row>
    <row r="82" spans="1:2" ht="15.75">
      <c r="A82" s="14"/>
      <c r="B82" s="14"/>
    </row>
    <row r="83" spans="1:2" ht="15.75">
      <c r="A83" s="14"/>
      <c r="B83" s="14"/>
    </row>
    <row r="84" spans="1:2" ht="15.75">
      <c r="A84" s="14"/>
      <c r="B84" s="14"/>
    </row>
    <row r="85" spans="1:2" ht="15.75">
      <c r="A85" s="14"/>
      <c r="B85" s="14"/>
    </row>
    <row r="86" spans="1:2" ht="15.75">
      <c r="A86" s="14"/>
      <c r="B86" s="14"/>
    </row>
    <row r="87" spans="1:2" ht="15.75">
      <c r="A87" s="14"/>
      <c r="B87" s="14"/>
    </row>
    <row r="88" spans="1:2" ht="15.75">
      <c r="A88" s="14"/>
      <c r="B88" s="14"/>
    </row>
    <row r="89" spans="1:2" ht="15.75">
      <c r="A89" s="14"/>
      <c r="B89" s="14"/>
    </row>
    <row r="90" spans="1:2" ht="15.75">
      <c r="A90" s="14"/>
      <c r="B90" s="14"/>
    </row>
    <row r="91" spans="1:2" ht="15.75">
      <c r="A91" s="14"/>
      <c r="B91" s="14"/>
    </row>
    <row r="92" spans="1:2" ht="15.75">
      <c r="A92" s="14"/>
      <c r="B92" s="14"/>
    </row>
    <row r="93" spans="1:2" ht="15.75">
      <c r="A93" s="14"/>
      <c r="B93" s="14"/>
    </row>
    <row r="94" spans="1:2" ht="15.75">
      <c r="A94" s="14"/>
      <c r="B94" s="14"/>
    </row>
    <row r="95" spans="1:2" ht="15.75">
      <c r="A95" s="14"/>
      <c r="B95" s="14"/>
    </row>
    <row r="96" spans="1:2" ht="15.75">
      <c r="A96" s="14"/>
      <c r="B96" s="14"/>
    </row>
    <row r="97" spans="1:2" ht="15.75">
      <c r="A97" s="14"/>
      <c r="B97" s="14"/>
    </row>
    <row r="98" spans="1:2" ht="15.75">
      <c r="A98" s="14"/>
      <c r="B98" s="14"/>
    </row>
    <row r="99" spans="1:2" ht="15.75">
      <c r="A99" s="14"/>
      <c r="B99" s="14"/>
    </row>
    <row r="100" spans="1:2" ht="15.75">
      <c r="A100" s="14"/>
      <c r="B100" s="14"/>
    </row>
    <row r="101" spans="1:2" ht="15.75">
      <c r="A101" s="14"/>
      <c r="B101" s="14"/>
    </row>
    <row r="102" spans="1:2" ht="15.75">
      <c r="A102" s="14"/>
      <c r="B102" s="14"/>
    </row>
    <row r="103" spans="1:2" ht="15.75">
      <c r="A103" s="14"/>
      <c r="B103" s="14"/>
    </row>
    <row r="104" spans="1:2" ht="15.75">
      <c r="A104" s="14"/>
      <c r="B104" s="14"/>
    </row>
    <row r="105" spans="1:2" ht="15.75">
      <c r="A105" s="14"/>
      <c r="B105" s="14"/>
    </row>
    <row r="106" spans="1:2" ht="15.75">
      <c r="A106" s="14"/>
      <c r="B106" s="14"/>
    </row>
    <row r="107" spans="1:2" ht="15.75">
      <c r="A107" s="14"/>
      <c r="B107" s="14"/>
    </row>
    <row r="108" spans="1:2" ht="15.75">
      <c r="A108" s="14"/>
      <c r="B108" s="14"/>
    </row>
    <row r="109" spans="1:2" ht="15.75">
      <c r="A109" s="14"/>
      <c r="B109" s="14"/>
    </row>
    <row r="110" spans="1:2" ht="15.75">
      <c r="A110" s="14"/>
      <c r="B110" s="14"/>
    </row>
    <row r="111" spans="1:2" ht="15.75">
      <c r="A111" s="23"/>
      <c r="B111" s="23"/>
    </row>
    <row r="112" spans="1:2" ht="15.75">
      <c r="A112" s="23"/>
      <c r="B112" s="23"/>
    </row>
    <row r="113" spans="1:2" ht="15.75">
      <c r="A113" s="16"/>
      <c r="B113" s="16"/>
    </row>
  </sheetData>
  <sheetProtection/>
  <mergeCells count="17">
    <mergeCell ref="A66:B66"/>
    <mergeCell ref="A1:B1"/>
    <mergeCell ref="A3:A4"/>
    <mergeCell ref="B3:B5"/>
    <mergeCell ref="M3:M5"/>
    <mergeCell ref="F3:F5"/>
    <mergeCell ref="J3:J5"/>
    <mergeCell ref="K3:K5"/>
    <mergeCell ref="N3:N5"/>
    <mergeCell ref="O3:O5"/>
    <mergeCell ref="P3:P5"/>
    <mergeCell ref="Q3:Q5"/>
    <mergeCell ref="C3:C5"/>
    <mergeCell ref="D3:D5"/>
    <mergeCell ref="E3:E5"/>
    <mergeCell ref="L3:L5"/>
    <mergeCell ref="G3:I3"/>
  </mergeCells>
  <printOptions horizontalCentered="1"/>
  <pageMargins left="0" right="0" top="0.5905511811023623" bottom="0" header="0" footer="0"/>
  <pageSetup horizontalDpi="600" verticalDpi="600" orientation="landscape" paperSize="9" scale="60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4"/>
  <sheetViews>
    <sheetView view="pageBreakPreview" zoomScale="70" zoomScaleNormal="71" zoomScaleSheetLayoutView="7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6" sqref="D36"/>
    </sheetView>
  </sheetViews>
  <sheetFormatPr defaultColWidth="9.140625" defaultRowHeight="12.75"/>
  <cols>
    <col min="1" max="1" width="30.8515625" style="8" customWidth="1"/>
    <col min="2" max="2" width="14.8515625" style="8" customWidth="1"/>
    <col min="3" max="3" width="19.8515625" style="9" customWidth="1"/>
    <col min="4" max="4" width="21.7109375" style="9" customWidth="1"/>
    <col min="5" max="5" width="20.57421875" style="7" customWidth="1"/>
    <col min="6" max="6" width="12.28125" style="7" customWidth="1"/>
    <col min="7" max="7" width="20.421875" style="7" customWidth="1"/>
    <col min="8" max="12" width="20.00390625" style="7" customWidth="1"/>
    <col min="13" max="13" width="16.28125" style="7" customWidth="1"/>
    <col min="14" max="14" width="21.57421875" style="7" customWidth="1"/>
    <col min="15" max="15" width="17.421875" style="7" customWidth="1"/>
    <col min="16" max="16" width="17.7109375" style="7" customWidth="1"/>
    <col min="17" max="19" width="9.140625" style="7" hidden="1" customWidth="1"/>
    <col min="20" max="16384" width="9.140625" style="7" customWidth="1"/>
  </cols>
  <sheetData>
    <row r="1" spans="1:16" ht="15.75">
      <c r="A1" s="325"/>
      <c r="B1" s="325"/>
      <c r="C1" s="325"/>
      <c r="D1" s="325"/>
      <c r="F1" s="26"/>
      <c r="G1" s="355" t="s">
        <v>78</v>
      </c>
      <c r="H1" s="355"/>
      <c r="I1" s="26"/>
      <c r="J1" s="26"/>
      <c r="K1" s="26"/>
      <c r="L1" s="26"/>
      <c r="M1" s="26"/>
      <c r="N1" s="26"/>
      <c r="O1" s="26"/>
      <c r="P1" s="26"/>
    </row>
    <row r="2" spans="1:16" ht="56.25" customHeight="1">
      <c r="A2" s="124"/>
      <c r="B2" s="356" t="s">
        <v>83</v>
      </c>
      <c r="C2" s="356"/>
      <c r="D2" s="356"/>
      <c r="E2" s="356"/>
      <c r="F2" s="356"/>
      <c r="G2" s="356"/>
      <c r="H2" s="356"/>
      <c r="I2" s="26"/>
      <c r="J2" s="26"/>
      <c r="K2" s="26"/>
      <c r="L2" s="26"/>
      <c r="M2" s="26"/>
      <c r="N2" s="26"/>
      <c r="O2" s="26"/>
      <c r="P2" s="26"/>
    </row>
    <row r="3" spans="1:16" ht="15.75" customHeight="1">
      <c r="A3" s="124"/>
      <c r="B3" s="124"/>
      <c r="C3" s="5"/>
      <c r="D3" s="5"/>
      <c r="F3" s="312"/>
      <c r="G3" s="312"/>
      <c r="H3" s="312"/>
      <c r="I3" s="125"/>
      <c r="J3" s="125"/>
      <c r="K3" s="125"/>
      <c r="L3" s="125"/>
      <c r="M3" s="312"/>
      <c r="N3" s="312"/>
      <c r="O3" s="312"/>
      <c r="P3" s="312"/>
    </row>
    <row r="4" spans="1:16" ht="90" customHeight="1">
      <c r="A4" s="329" t="s">
        <v>54</v>
      </c>
      <c r="B4" s="326" t="s">
        <v>79</v>
      </c>
      <c r="C4" s="311" t="s">
        <v>80</v>
      </c>
      <c r="D4" s="311"/>
      <c r="E4" s="311"/>
      <c r="F4" s="313" t="s">
        <v>84</v>
      </c>
      <c r="G4" s="313"/>
      <c r="H4" s="313"/>
      <c r="I4" s="316" t="s">
        <v>81</v>
      </c>
      <c r="J4" s="317"/>
      <c r="K4" s="318"/>
      <c r="L4" s="319" t="s">
        <v>65</v>
      </c>
      <c r="M4" s="352" t="s">
        <v>85</v>
      </c>
      <c r="N4" s="353"/>
      <c r="O4" s="354"/>
      <c r="P4" s="315" t="s">
        <v>86</v>
      </c>
    </row>
    <row r="5" spans="1:16" ht="117.75" customHeight="1">
      <c r="A5" s="329"/>
      <c r="B5" s="327"/>
      <c r="C5" s="322" t="s">
        <v>1</v>
      </c>
      <c r="D5" s="323"/>
      <c r="E5" s="357"/>
      <c r="F5" s="322" t="s">
        <v>1</v>
      </c>
      <c r="G5" s="323"/>
      <c r="H5" s="357"/>
      <c r="I5" s="322" t="s">
        <v>1</v>
      </c>
      <c r="J5" s="323"/>
      <c r="K5" s="357"/>
      <c r="L5" s="320"/>
      <c r="M5" s="322" t="s">
        <v>1</v>
      </c>
      <c r="N5" s="323"/>
      <c r="O5" s="357"/>
      <c r="P5" s="315"/>
    </row>
    <row r="6" spans="1:16" ht="125.25" customHeight="1">
      <c r="A6" s="51" t="s">
        <v>57</v>
      </c>
      <c r="B6" s="328"/>
      <c r="C6" s="1" t="s">
        <v>82</v>
      </c>
      <c r="D6" s="1" t="s">
        <v>59</v>
      </c>
      <c r="E6" s="1" t="s">
        <v>60</v>
      </c>
      <c r="F6" s="1" t="s">
        <v>82</v>
      </c>
      <c r="G6" s="1" t="s">
        <v>59</v>
      </c>
      <c r="H6" s="1" t="s">
        <v>60</v>
      </c>
      <c r="I6" s="1" t="s">
        <v>82</v>
      </c>
      <c r="J6" s="1" t="s">
        <v>59</v>
      </c>
      <c r="K6" s="1" t="s">
        <v>60</v>
      </c>
      <c r="L6" s="321"/>
      <c r="M6" s="1" t="s">
        <v>82</v>
      </c>
      <c r="N6" s="1" t="s">
        <v>59</v>
      </c>
      <c r="O6" s="1" t="s">
        <v>60</v>
      </c>
      <c r="P6" s="315"/>
    </row>
    <row r="7" spans="1:19" s="56" customFormat="1" ht="23.25" customHeight="1">
      <c r="A7" s="53" t="s">
        <v>2</v>
      </c>
      <c r="B7" s="34">
        <v>12</v>
      </c>
      <c r="C7" s="133"/>
      <c r="D7" s="133">
        <v>103</v>
      </c>
      <c r="E7" s="134"/>
      <c r="F7" s="57"/>
      <c r="G7" s="57">
        <v>65125</v>
      </c>
      <c r="H7" s="57"/>
      <c r="I7" s="55"/>
      <c r="J7" s="55">
        <v>1</v>
      </c>
      <c r="K7" s="55"/>
      <c r="L7" s="129">
        <v>0.637</v>
      </c>
      <c r="M7" s="58">
        <f>ROUND(C7*F7*I7*L7*8/12/1000,1)</f>
        <v>0</v>
      </c>
      <c r="N7" s="58">
        <f>ROUND(D7*G7*J7*L7*8/12/1000,1)</f>
        <v>2848.6</v>
      </c>
      <c r="O7" s="58">
        <f>ROUND(E7*H7*K7*L7*8/12/1000,1)</f>
        <v>0</v>
      </c>
      <c r="P7" s="58">
        <f>SUM(M7:O7)</f>
        <v>2848.6</v>
      </c>
      <c r="Q7" s="56">
        <f>ROUND(S7*0.994,3)</f>
        <v>0.637</v>
      </c>
      <c r="S7" s="126">
        <v>0.641</v>
      </c>
    </row>
    <row r="8" spans="1:19" s="56" customFormat="1" ht="15.75">
      <c r="A8" s="53" t="s">
        <v>3</v>
      </c>
      <c r="B8" s="34">
        <v>12</v>
      </c>
      <c r="C8" s="135">
        <v>25</v>
      </c>
      <c r="D8" s="135">
        <v>104</v>
      </c>
      <c r="E8" s="136"/>
      <c r="F8" s="57">
        <v>82085</v>
      </c>
      <c r="G8" s="57">
        <v>65125</v>
      </c>
      <c r="H8" s="57"/>
      <c r="I8" s="55">
        <v>1</v>
      </c>
      <c r="J8" s="55">
        <v>1</v>
      </c>
      <c r="K8" s="55"/>
      <c r="L8" s="129">
        <v>0.634</v>
      </c>
      <c r="M8" s="58">
        <f aca="true" t="shared" si="0" ref="M8:M51">ROUND(C8*F8*I8*L8*8/12/1000,1)</f>
        <v>867.4</v>
      </c>
      <c r="N8" s="58">
        <f aca="true" t="shared" si="1" ref="N8:N51">ROUND(D8*G8*J8*L8*8/12/1000,1)</f>
        <v>2862.7</v>
      </c>
      <c r="O8" s="58">
        <f aca="true" t="shared" si="2" ref="O8:O51">ROUND(E8*H8*K8*L8*8/12/1000,1)</f>
        <v>0</v>
      </c>
      <c r="P8" s="58">
        <f aca="true" t="shared" si="3" ref="P8:P51">SUM(M8:O8)</f>
        <v>3730.1</v>
      </c>
      <c r="Q8" s="56">
        <f aca="true" t="shared" si="4" ref="Q8:Q51">ROUND(S8*0.994,3)</f>
        <v>0.634</v>
      </c>
      <c r="S8" s="126">
        <v>0.638</v>
      </c>
    </row>
    <row r="9" spans="1:19" s="56" customFormat="1" ht="15.75">
      <c r="A9" s="53" t="s">
        <v>4</v>
      </c>
      <c r="B9" s="34">
        <v>12</v>
      </c>
      <c r="C9" s="135">
        <v>20</v>
      </c>
      <c r="D9" s="135">
        <v>122</v>
      </c>
      <c r="E9" s="134"/>
      <c r="F9" s="57">
        <v>82085</v>
      </c>
      <c r="G9" s="57">
        <v>65125</v>
      </c>
      <c r="H9" s="57"/>
      <c r="I9" s="55">
        <v>1</v>
      </c>
      <c r="J9" s="55">
        <v>1.02</v>
      </c>
      <c r="K9" s="55"/>
      <c r="L9" s="129">
        <v>0.697</v>
      </c>
      <c r="M9" s="58">
        <f t="shared" si="0"/>
        <v>762.8</v>
      </c>
      <c r="N9" s="58">
        <f t="shared" si="1"/>
        <v>3765.7</v>
      </c>
      <c r="O9" s="58">
        <f t="shared" si="2"/>
        <v>0</v>
      </c>
      <c r="P9" s="58">
        <f t="shared" si="3"/>
        <v>4528.5</v>
      </c>
      <c r="Q9" s="56">
        <f t="shared" si="4"/>
        <v>0.697</v>
      </c>
      <c r="S9" s="126">
        <v>0.701</v>
      </c>
    </row>
    <row r="10" spans="1:19" s="56" customFormat="1" ht="15.75">
      <c r="A10" s="53" t="s">
        <v>5</v>
      </c>
      <c r="B10" s="34">
        <v>12</v>
      </c>
      <c r="C10" s="135">
        <v>45</v>
      </c>
      <c r="D10" s="135">
        <v>155</v>
      </c>
      <c r="E10" s="134">
        <v>43</v>
      </c>
      <c r="F10" s="57">
        <v>82085</v>
      </c>
      <c r="G10" s="57">
        <v>65125</v>
      </c>
      <c r="H10" s="57">
        <v>160861</v>
      </c>
      <c r="I10" s="55">
        <v>1</v>
      </c>
      <c r="J10" s="55">
        <v>1</v>
      </c>
      <c r="K10" s="55">
        <v>1.05</v>
      </c>
      <c r="L10" s="129">
        <v>0.678</v>
      </c>
      <c r="M10" s="58">
        <f t="shared" si="0"/>
        <v>1669.6</v>
      </c>
      <c r="N10" s="58">
        <f t="shared" si="1"/>
        <v>4562.7</v>
      </c>
      <c r="O10" s="58">
        <f t="shared" si="2"/>
        <v>3282.8</v>
      </c>
      <c r="P10" s="58">
        <f t="shared" si="3"/>
        <v>9515.099999999999</v>
      </c>
      <c r="Q10" s="56">
        <f t="shared" si="4"/>
        <v>0.678</v>
      </c>
      <c r="S10" s="126">
        <v>0.682</v>
      </c>
    </row>
    <row r="11" spans="1:19" s="56" customFormat="1" ht="15.75">
      <c r="A11" s="53" t="s">
        <v>6</v>
      </c>
      <c r="B11" s="34">
        <v>12</v>
      </c>
      <c r="C11" s="135">
        <v>75</v>
      </c>
      <c r="D11" s="135">
        <v>173</v>
      </c>
      <c r="E11" s="134">
        <v>28</v>
      </c>
      <c r="F11" s="57">
        <v>82085</v>
      </c>
      <c r="G11" s="57">
        <v>65125</v>
      </c>
      <c r="H11" s="57">
        <v>160861</v>
      </c>
      <c r="I11" s="55">
        <v>1</v>
      </c>
      <c r="J11" s="55">
        <v>1.01</v>
      </c>
      <c r="K11" s="55">
        <v>1.07</v>
      </c>
      <c r="L11" s="129">
        <v>0.661</v>
      </c>
      <c r="M11" s="58">
        <f t="shared" si="0"/>
        <v>2712.9</v>
      </c>
      <c r="N11" s="58">
        <f t="shared" si="1"/>
        <v>5014.5</v>
      </c>
      <c r="O11" s="58">
        <f t="shared" si="2"/>
        <v>2123.7</v>
      </c>
      <c r="P11" s="58">
        <f t="shared" si="3"/>
        <v>9851.099999999999</v>
      </c>
      <c r="Q11" s="56">
        <f t="shared" si="4"/>
        <v>0.661</v>
      </c>
      <c r="S11" s="126">
        <v>0.665</v>
      </c>
    </row>
    <row r="12" spans="1:19" s="56" customFormat="1" ht="15.75">
      <c r="A12" s="53" t="s">
        <v>7</v>
      </c>
      <c r="B12" s="34">
        <v>12</v>
      </c>
      <c r="C12" s="135"/>
      <c r="D12" s="135">
        <v>160</v>
      </c>
      <c r="E12" s="136"/>
      <c r="F12" s="57"/>
      <c r="G12" s="57">
        <v>65125</v>
      </c>
      <c r="H12" s="57"/>
      <c r="I12" s="55"/>
      <c r="J12" s="55">
        <v>1</v>
      </c>
      <c r="K12" s="55"/>
      <c r="L12" s="129">
        <v>0.644</v>
      </c>
      <c r="M12" s="58">
        <f t="shared" si="0"/>
        <v>0</v>
      </c>
      <c r="N12" s="58">
        <f t="shared" si="1"/>
        <v>4473.7</v>
      </c>
      <c r="O12" s="58">
        <f t="shared" si="2"/>
        <v>0</v>
      </c>
      <c r="P12" s="58">
        <f t="shared" si="3"/>
        <v>4473.7</v>
      </c>
      <c r="Q12" s="56">
        <f t="shared" si="4"/>
        <v>0.644</v>
      </c>
      <c r="S12" s="126">
        <v>0.648</v>
      </c>
    </row>
    <row r="13" spans="1:19" s="56" customFormat="1" ht="15.75">
      <c r="A13" s="53" t="s">
        <v>8</v>
      </c>
      <c r="B13" s="34">
        <v>12</v>
      </c>
      <c r="C13" s="135">
        <v>25</v>
      </c>
      <c r="D13" s="135">
        <v>190</v>
      </c>
      <c r="E13" s="134">
        <v>45</v>
      </c>
      <c r="F13" s="57">
        <v>82085</v>
      </c>
      <c r="G13" s="57">
        <v>65125</v>
      </c>
      <c r="H13" s="57">
        <v>160861</v>
      </c>
      <c r="I13" s="55">
        <v>1</v>
      </c>
      <c r="J13" s="55">
        <v>1.05</v>
      </c>
      <c r="K13" s="55">
        <v>1</v>
      </c>
      <c r="L13" s="129">
        <v>0.702</v>
      </c>
      <c r="M13" s="58">
        <f t="shared" si="0"/>
        <v>960.4</v>
      </c>
      <c r="N13" s="58">
        <f t="shared" si="1"/>
        <v>6080.5</v>
      </c>
      <c r="O13" s="58">
        <f t="shared" si="2"/>
        <v>3387.7</v>
      </c>
      <c r="P13" s="58">
        <f t="shared" si="3"/>
        <v>10428.599999999999</v>
      </c>
      <c r="Q13" s="56">
        <f t="shared" si="4"/>
        <v>0.702</v>
      </c>
      <c r="S13" s="126">
        <v>0.706</v>
      </c>
    </row>
    <row r="14" spans="1:19" s="56" customFormat="1" ht="15.75">
      <c r="A14" s="53" t="s">
        <v>9</v>
      </c>
      <c r="B14" s="34">
        <v>12</v>
      </c>
      <c r="C14" s="135">
        <v>44</v>
      </c>
      <c r="D14" s="135">
        <v>181</v>
      </c>
      <c r="E14" s="134">
        <v>45</v>
      </c>
      <c r="F14" s="57">
        <v>82085</v>
      </c>
      <c r="G14" s="57">
        <v>65125</v>
      </c>
      <c r="H14" s="57">
        <v>160861</v>
      </c>
      <c r="I14" s="55">
        <v>1</v>
      </c>
      <c r="J14" s="55">
        <v>1</v>
      </c>
      <c r="K14" s="55">
        <v>1</v>
      </c>
      <c r="L14" s="129">
        <v>0.678</v>
      </c>
      <c r="M14" s="58">
        <f t="shared" si="0"/>
        <v>1632.5</v>
      </c>
      <c r="N14" s="58">
        <f t="shared" si="1"/>
        <v>5328</v>
      </c>
      <c r="O14" s="58">
        <f t="shared" si="2"/>
        <v>3271.9</v>
      </c>
      <c r="P14" s="58">
        <f t="shared" si="3"/>
        <v>10232.4</v>
      </c>
      <c r="Q14" s="56">
        <f t="shared" si="4"/>
        <v>0.678</v>
      </c>
      <c r="S14" s="126">
        <v>0.682</v>
      </c>
    </row>
    <row r="15" spans="1:19" s="56" customFormat="1" ht="15.75">
      <c r="A15" s="53" t="s">
        <v>10</v>
      </c>
      <c r="B15" s="34">
        <v>12</v>
      </c>
      <c r="C15" s="135">
        <v>41</v>
      </c>
      <c r="D15" s="135">
        <v>145</v>
      </c>
      <c r="E15" s="134">
        <v>37</v>
      </c>
      <c r="F15" s="57">
        <v>82085</v>
      </c>
      <c r="G15" s="57">
        <v>65125</v>
      </c>
      <c r="H15" s="57">
        <v>160861</v>
      </c>
      <c r="I15" s="55">
        <v>1</v>
      </c>
      <c r="J15" s="55">
        <v>1.03</v>
      </c>
      <c r="K15" s="55">
        <v>1</v>
      </c>
      <c r="L15" s="129">
        <v>0.714</v>
      </c>
      <c r="M15" s="58">
        <f t="shared" si="0"/>
        <v>1602</v>
      </c>
      <c r="N15" s="58">
        <f t="shared" si="1"/>
        <v>4629.8</v>
      </c>
      <c r="O15" s="58">
        <f t="shared" si="2"/>
        <v>2833.1</v>
      </c>
      <c r="P15" s="58">
        <f t="shared" si="3"/>
        <v>9064.9</v>
      </c>
      <c r="Q15" s="56">
        <f t="shared" si="4"/>
        <v>0.714</v>
      </c>
      <c r="S15" s="126">
        <v>0.718</v>
      </c>
    </row>
    <row r="16" spans="1:19" s="56" customFormat="1" ht="15.75">
      <c r="A16" s="53" t="s">
        <v>11</v>
      </c>
      <c r="B16" s="34">
        <v>12</v>
      </c>
      <c r="C16" s="135">
        <v>45</v>
      </c>
      <c r="D16" s="135">
        <v>159</v>
      </c>
      <c r="E16" s="134">
        <v>30</v>
      </c>
      <c r="F16" s="57">
        <v>82085</v>
      </c>
      <c r="G16" s="57">
        <v>65125</v>
      </c>
      <c r="H16" s="57">
        <v>160861</v>
      </c>
      <c r="I16" s="55">
        <v>1</v>
      </c>
      <c r="J16" s="55">
        <v>1</v>
      </c>
      <c r="K16" s="55">
        <v>1</v>
      </c>
      <c r="L16" s="129">
        <v>0.714</v>
      </c>
      <c r="M16" s="58">
        <f t="shared" si="0"/>
        <v>1758.3</v>
      </c>
      <c r="N16" s="58">
        <f t="shared" si="1"/>
        <v>4928.9</v>
      </c>
      <c r="O16" s="58">
        <f t="shared" si="2"/>
        <v>2297.1</v>
      </c>
      <c r="P16" s="58">
        <f t="shared" si="3"/>
        <v>8984.3</v>
      </c>
      <c r="Q16" s="56">
        <f t="shared" si="4"/>
        <v>0.714</v>
      </c>
      <c r="S16" s="126">
        <v>0.718</v>
      </c>
    </row>
    <row r="17" spans="1:19" s="56" customFormat="1" ht="15.75">
      <c r="A17" s="53" t="s">
        <v>12</v>
      </c>
      <c r="B17" s="34">
        <v>12</v>
      </c>
      <c r="C17" s="137">
        <v>22</v>
      </c>
      <c r="D17" s="137">
        <v>51</v>
      </c>
      <c r="E17" s="138">
        <v>16</v>
      </c>
      <c r="F17" s="57">
        <v>87069</v>
      </c>
      <c r="G17" s="57">
        <v>69308</v>
      </c>
      <c r="H17" s="57">
        <v>176067</v>
      </c>
      <c r="I17" s="55">
        <v>1</v>
      </c>
      <c r="J17" s="55">
        <v>1</v>
      </c>
      <c r="K17" s="55">
        <v>1</v>
      </c>
      <c r="L17" s="129">
        <v>0.662</v>
      </c>
      <c r="M17" s="58">
        <f t="shared" si="0"/>
        <v>845.4</v>
      </c>
      <c r="N17" s="58">
        <f t="shared" si="1"/>
        <v>1560</v>
      </c>
      <c r="O17" s="58">
        <f t="shared" si="2"/>
        <v>1243.3</v>
      </c>
      <c r="P17" s="58">
        <f t="shared" si="3"/>
        <v>3648.7</v>
      </c>
      <c r="Q17" s="56">
        <f t="shared" si="4"/>
        <v>0.664</v>
      </c>
      <c r="S17" s="126">
        <v>0.668</v>
      </c>
    </row>
    <row r="18" spans="1:19" s="56" customFormat="1" ht="15.75">
      <c r="A18" s="53" t="s">
        <v>26</v>
      </c>
      <c r="B18" s="54">
        <v>10</v>
      </c>
      <c r="C18" s="135"/>
      <c r="D18" s="135">
        <v>26</v>
      </c>
      <c r="E18" s="136"/>
      <c r="F18" s="57"/>
      <c r="G18" s="57">
        <v>57042</v>
      </c>
      <c r="H18" s="57"/>
      <c r="I18" s="55"/>
      <c r="J18" s="55">
        <v>1</v>
      </c>
      <c r="K18" s="55"/>
      <c r="L18" s="129">
        <v>0.828</v>
      </c>
      <c r="M18" s="58">
        <f t="shared" si="0"/>
        <v>0</v>
      </c>
      <c r="N18" s="58">
        <f t="shared" si="1"/>
        <v>818.7</v>
      </c>
      <c r="O18" s="58">
        <f t="shared" si="2"/>
        <v>0</v>
      </c>
      <c r="P18" s="58">
        <f t="shared" si="3"/>
        <v>818.7</v>
      </c>
      <c r="Q18" s="56">
        <f t="shared" si="4"/>
        <v>0.828</v>
      </c>
      <c r="S18" s="126">
        <v>0.833</v>
      </c>
    </row>
    <row r="19" spans="1:19" s="56" customFormat="1" ht="15.75">
      <c r="A19" s="53" t="s">
        <v>25</v>
      </c>
      <c r="B19" s="54">
        <v>10</v>
      </c>
      <c r="C19" s="135"/>
      <c r="D19" s="135">
        <v>25</v>
      </c>
      <c r="E19" s="134"/>
      <c r="F19" s="57"/>
      <c r="G19" s="57">
        <v>57042</v>
      </c>
      <c r="H19" s="57"/>
      <c r="I19" s="55"/>
      <c r="J19" s="55">
        <v>1</v>
      </c>
      <c r="K19" s="55"/>
      <c r="L19" s="129">
        <v>0.994</v>
      </c>
      <c r="M19" s="58">
        <f t="shared" si="0"/>
        <v>0</v>
      </c>
      <c r="N19" s="58">
        <f t="shared" si="1"/>
        <v>945</v>
      </c>
      <c r="O19" s="58">
        <f t="shared" si="2"/>
        <v>0</v>
      </c>
      <c r="P19" s="58">
        <f>SUM(M19:O19)+10.9</f>
        <v>955.9</v>
      </c>
      <c r="Q19" s="56">
        <f t="shared" si="4"/>
        <v>0.994</v>
      </c>
      <c r="S19" s="126">
        <v>1</v>
      </c>
    </row>
    <row r="20" spans="1:19" s="56" customFormat="1" ht="15.75">
      <c r="A20" s="53" t="s">
        <v>13</v>
      </c>
      <c r="B20" s="54">
        <v>10</v>
      </c>
      <c r="C20" s="135"/>
      <c r="D20" s="135">
        <v>86</v>
      </c>
      <c r="E20" s="134"/>
      <c r="F20" s="57"/>
      <c r="G20" s="57">
        <v>57042</v>
      </c>
      <c r="H20" s="57"/>
      <c r="I20" s="55"/>
      <c r="J20" s="55">
        <v>1</v>
      </c>
      <c r="K20" s="55"/>
      <c r="L20" s="129">
        <v>0.614</v>
      </c>
      <c r="M20" s="58">
        <f t="shared" si="0"/>
        <v>0</v>
      </c>
      <c r="N20" s="58">
        <f t="shared" si="1"/>
        <v>2008</v>
      </c>
      <c r="O20" s="58">
        <f t="shared" si="2"/>
        <v>0</v>
      </c>
      <c r="P20" s="58">
        <f t="shared" si="3"/>
        <v>2008</v>
      </c>
      <c r="Q20" s="56">
        <f t="shared" si="4"/>
        <v>0.614</v>
      </c>
      <c r="S20" s="126">
        <v>0.618</v>
      </c>
    </row>
    <row r="21" spans="1:19" s="56" customFormat="1" ht="15.75">
      <c r="A21" s="53" t="s">
        <v>14</v>
      </c>
      <c r="B21" s="54">
        <v>10</v>
      </c>
      <c r="C21" s="135"/>
      <c r="D21" s="135">
        <v>45</v>
      </c>
      <c r="E21" s="134"/>
      <c r="F21" s="57"/>
      <c r="G21" s="57">
        <v>57042</v>
      </c>
      <c r="H21" s="57"/>
      <c r="I21" s="55"/>
      <c r="J21" s="55">
        <v>1.11</v>
      </c>
      <c r="K21" s="55"/>
      <c r="L21" s="129">
        <v>0.774</v>
      </c>
      <c r="M21" s="58">
        <f t="shared" si="0"/>
        <v>0</v>
      </c>
      <c r="N21" s="58">
        <f t="shared" si="1"/>
        <v>1470.2</v>
      </c>
      <c r="O21" s="58">
        <f t="shared" si="2"/>
        <v>0</v>
      </c>
      <c r="P21" s="58">
        <f t="shared" si="3"/>
        <v>1470.2</v>
      </c>
      <c r="Q21" s="56">
        <f t="shared" si="4"/>
        <v>0.774</v>
      </c>
      <c r="S21" s="126">
        <v>0.779</v>
      </c>
    </row>
    <row r="22" spans="1:19" s="56" customFormat="1" ht="15.75">
      <c r="A22" s="53" t="s">
        <v>15</v>
      </c>
      <c r="B22" s="54">
        <v>10</v>
      </c>
      <c r="C22" s="135"/>
      <c r="D22" s="135">
        <v>50</v>
      </c>
      <c r="E22" s="134"/>
      <c r="F22" s="57"/>
      <c r="G22" s="57">
        <v>57042</v>
      </c>
      <c r="H22" s="57"/>
      <c r="I22" s="55"/>
      <c r="J22" s="55">
        <v>1</v>
      </c>
      <c r="K22" s="55"/>
      <c r="L22" s="129">
        <v>0.737</v>
      </c>
      <c r="M22" s="58">
        <f t="shared" si="0"/>
        <v>0</v>
      </c>
      <c r="N22" s="58">
        <f t="shared" si="1"/>
        <v>1401.3</v>
      </c>
      <c r="O22" s="58">
        <f t="shared" si="2"/>
        <v>0</v>
      </c>
      <c r="P22" s="58">
        <f t="shared" si="3"/>
        <v>1401.3</v>
      </c>
      <c r="Q22" s="56">
        <f t="shared" si="4"/>
        <v>0.737</v>
      </c>
      <c r="S22" s="126">
        <v>0.741</v>
      </c>
    </row>
    <row r="23" spans="1:19" s="56" customFormat="1" ht="16.5" customHeight="1">
      <c r="A23" s="53" t="s">
        <v>16</v>
      </c>
      <c r="B23" s="54">
        <v>10</v>
      </c>
      <c r="C23" s="135"/>
      <c r="D23" s="135">
        <v>64</v>
      </c>
      <c r="E23" s="134"/>
      <c r="F23" s="57"/>
      <c r="G23" s="57">
        <v>57042</v>
      </c>
      <c r="H23" s="57"/>
      <c r="I23" s="55"/>
      <c r="J23" s="55">
        <v>1</v>
      </c>
      <c r="K23" s="55"/>
      <c r="L23" s="129">
        <v>0.618</v>
      </c>
      <c r="M23" s="58">
        <f t="shared" si="0"/>
        <v>0</v>
      </c>
      <c r="N23" s="58">
        <f t="shared" si="1"/>
        <v>1504.1</v>
      </c>
      <c r="O23" s="58">
        <f t="shared" si="2"/>
        <v>0</v>
      </c>
      <c r="P23" s="58">
        <f t="shared" si="3"/>
        <v>1504.1</v>
      </c>
      <c r="Q23" s="56">
        <f t="shared" si="4"/>
        <v>0.618</v>
      </c>
      <c r="S23" s="126">
        <v>0.622</v>
      </c>
    </row>
    <row r="24" spans="1:19" s="56" customFormat="1" ht="19.5" customHeight="1">
      <c r="A24" s="53" t="s">
        <v>27</v>
      </c>
      <c r="B24" s="54">
        <v>9</v>
      </c>
      <c r="C24" s="135"/>
      <c r="D24" s="135">
        <v>18</v>
      </c>
      <c r="E24" s="139"/>
      <c r="F24" s="57"/>
      <c r="G24" s="57">
        <v>51892</v>
      </c>
      <c r="H24" s="57"/>
      <c r="I24" s="55"/>
      <c r="J24" s="55">
        <v>1.39</v>
      </c>
      <c r="K24" s="55"/>
      <c r="L24" s="129">
        <v>0.86</v>
      </c>
      <c r="M24" s="58">
        <f t="shared" si="0"/>
        <v>0</v>
      </c>
      <c r="N24" s="58">
        <f t="shared" si="1"/>
        <v>744.4</v>
      </c>
      <c r="O24" s="58">
        <f t="shared" si="2"/>
        <v>0</v>
      </c>
      <c r="P24" s="58">
        <f t="shared" si="3"/>
        <v>744.4</v>
      </c>
      <c r="Q24" s="56">
        <f t="shared" si="4"/>
        <v>0.86</v>
      </c>
      <c r="S24" s="126">
        <v>0.865</v>
      </c>
    </row>
    <row r="25" spans="1:19" s="56" customFormat="1" ht="19.5" customHeight="1">
      <c r="A25" s="53" t="s">
        <v>28</v>
      </c>
      <c r="B25" s="54">
        <v>9</v>
      </c>
      <c r="C25" s="135"/>
      <c r="D25" s="135">
        <v>8</v>
      </c>
      <c r="E25" s="134"/>
      <c r="F25" s="57"/>
      <c r="G25" s="57">
        <v>51892</v>
      </c>
      <c r="H25" s="57"/>
      <c r="I25" s="55"/>
      <c r="J25" s="55">
        <v>3.12</v>
      </c>
      <c r="K25" s="55"/>
      <c r="L25" s="129">
        <v>0.846</v>
      </c>
      <c r="M25" s="58">
        <f t="shared" si="0"/>
        <v>0</v>
      </c>
      <c r="N25" s="58">
        <f t="shared" si="1"/>
        <v>730.5</v>
      </c>
      <c r="O25" s="58">
        <f t="shared" si="2"/>
        <v>0</v>
      </c>
      <c r="P25" s="58">
        <f t="shared" si="3"/>
        <v>730.5</v>
      </c>
      <c r="Q25" s="56">
        <f t="shared" si="4"/>
        <v>0.846</v>
      </c>
      <c r="S25" s="126">
        <v>0.851</v>
      </c>
    </row>
    <row r="26" spans="1:19" s="56" customFormat="1" ht="19.5" customHeight="1">
      <c r="A26" s="53" t="s">
        <v>29</v>
      </c>
      <c r="B26" s="54">
        <v>9</v>
      </c>
      <c r="C26" s="135"/>
      <c r="D26" s="135">
        <v>12</v>
      </c>
      <c r="E26" s="134"/>
      <c r="F26" s="57"/>
      <c r="G26" s="57">
        <v>51892</v>
      </c>
      <c r="H26" s="57"/>
      <c r="I26" s="55"/>
      <c r="J26" s="55">
        <v>2.08</v>
      </c>
      <c r="K26" s="55"/>
      <c r="L26" s="129">
        <v>0.866</v>
      </c>
      <c r="M26" s="58">
        <f t="shared" si="0"/>
        <v>0</v>
      </c>
      <c r="N26" s="58">
        <f t="shared" si="1"/>
        <v>747.8</v>
      </c>
      <c r="O26" s="58">
        <f t="shared" si="2"/>
        <v>0</v>
      </c>
      <c r="P26" s="58">
        <f t="shared" si="3"/>
        <v>747.8</v>
      </c>
      <c r="Q26" s="56">
        <f t="shared" si="4"/>
        <v>0.866</v>
      </c>
      <c r="S26" s="126">
        <v>0.871</v>
      </c>
    </row>
    <row r="27" spans="1:19" s="56" customFormat="1" ht="19.5" customHeight="1">
      <c r="A27" s="53" t="s">
        <v>30</v>
      </c>
      <c r="B27" s="54">
        <v>10</v>
      </c>
      <c r="C27" s="135"/>
      <c r="D27" s="135">
        <v>27</v>
      </c>
      <c r="E27" s="134"/>
      <c r="F27" s="57"/>
      <c r="G27" s="57">
        <v>57042</v>
      </c>
      <c r="H27" s="57"/>
      <c r="I27" s="55"/>
      <c r="J27" s="55">
        <v>1</v>
      </c>
      <c r="K27" s="55"/>
      <c r="L27" s="129">
        <v>0.795</v>
      </c>
      <c r="M27" s="58">
        <f t="shared" si="0"/>
        <v>0</v>
      </c>
      <c r="N27" s="58">
        <f t="shared" si="1"/>
        <v>816.3</v>
      </c>
      <c r="O27" s="58">
        <f t="shared" si="2"/>
        <v>0</v>
      </c>
      <c r="P27" s="58">
        <f t="shared" si="3"/>
        <v>816.3</v>
      </c>
      <c r="Q27" s="56">
        <f t="shared" si="4"/>
        <v>0.795</v>
      </c>
      <c r="S27" s="126">
        <v>0.8</v>
      </c>
    </row>
    <row r="28" spans="1:19" s="56" customFormat="1" ht="15.75">
      <c r="A28" s="53" t="s">
        <v>17</v>
      </c>
      <c r="B28" s="34">
        <v>10</v>
      </c>
      <c r="C28" s="133"/>
      <c r="D28" s="133">
        <v>95</v>
      </c>
      <c r="E28" s="134"/>
      <c r="F28" s="57"/>
      <c r="G28" s="57">
        <v>57042</v>
      </c>
      <c r="H28" s="57"/>
      <c r="I28" s="55"/>
      <c r="J28" s="55">
        <v>1.05</v>
      </c>
      <c r="K28" s="55"/>
      <c r="L28" s="129">
        <v>0.723</v>
      </c>
      <c r="M28" s="58">
        <f t="shared" si="0"/>
        <v>0</v>
      </c>
      <c r="N28" s="58">
        <f t="shared" si="1"/>
        <v>2742.6</v>
      </c>
      <c r="O28" s="58">
        <f t="shared" si="2"/>
        <v>0</v>
      </c>
      <c r="P28" s="58">
        <f t="shared" si="3"/>
        <v>2742.6</v>
      </c>
      <c r="Q28" s="56">
        <f t="shared" si="4"/>
        <v>0.723</v>
      </c>
      <c r="S28" s="126">
        <v>0.727</v>
      </c>
    </row>
    <row r="29" spans="1:19" s="56" customFormat="1" ht="15.75">
      <c r="A29" s="53" t="s">
        <v>18</v>
      </c>
      <c r="B29" s="54">
        <v>10</v>
      </c>
      <c r="C29" s="135"/>
      <c r="D29" s="135">
        <v>74</v>
      </c>
      <c r="E29" s="134">
        <v>17</v>
      </c>
      <c r="F29" s="57"/>
      <c r="G29" s="57">
        <v>57042</v>
      </c>
      <c r="H29" s="57">
        <v>159739</v>
      </c>
      <c r="I29" s="55"/>
      <c r="J29" s="55">
        <v>1.01</v>
      </c>
      <c r="K29" s="55">
        <v>1</v>
      </c>
      <c r="L29" s="129">
        <v>0.746</v>
      </c>
      <c r="M29" s="58">
        <f t="shared" si="0"/>
        <v>0</v>
      </c>
      <c r="N29" s="58">
        <f t="shared" si="1"/>
        <v>2120.3</v>
      </c>
      <c r="O29" s="58">
        <f t="shared" si="2"/>
        <v>1350.5</v>
      </c>
      <c r="P29" s="58">
        <f t="shared" si="3"/>
        <v>3470.8</v>
      </c>
      <c r="Q29" s="56">
        <f t="shared" si="4"/>
        <v>0.746</v>
      </c>
      <c r="S29" s="126">
        <v>0.751</v>
      </c>
    </row>
    <row r="30" spans="1:19" s="56" customFormat="1" ht="21" customHeight="1">
      <c r="A30" s="53" t="s">
        <v>19</v>
      </c>
      <c r="B30" s="54">
        <v>10</v>
      </c>
      <c r="C30" s="135">
        <v>21</v>
      </c>
      <c r="D30" s="135">
        <v>52</v>
      </c>
      <c r="E30" s="139">
        <v>44</v>
      </c>
      <c r="F30" s="57">
        <v>68744</v>
      </c>
      <c r="G30" s="57">
        <v>57042</v>
      </c>
      <c r="H30" s="57">
        <v>159739</v>
      </c>
      <c r="I30" s="55">
        <v>1</v>
      </c>
      <c r="J30" s="55">
        <v>1</v>
      </c>
      <c r="K30" s="55">
        <v>1</v>
      </c>
      <c r="L30" s="129">
        <v>0.588</v>
      </c>
      <c r="M30" s="58">
        <f t="shared" si="0"/>
        <v>565.9</v>
      </c>
      <c r="N30" s="58">
        <f t="shared" si="1"/>
        <v>1162.7</v>
      </c>
      <c r="O30" s="58">
        <f t="shared" si="2"/>
        <v>2755.2</v>
      </c>
      <c r="P30" s="58">
        <f t="shared" si="3"/>
        <v>4483.799999999999</v>
      </c>
      <c r="Q30" s="56">
        <f t="shared" si="4"/>
        <v>0.588</v>
      </c>
      <c r="S30" s="126">
        <v>0.592</v>
      </c>
    </row>
    <row r="31" spans="1:19" s="56" customFormat="1" ht="15.75">
      <c r="A31" s="53" t="s">
        <v>20</v>
      </c>
      <c r="B31" s="54">
        <v>10</v>
      </c>
      <c r="C31" s="135">
        <v>18</v>
      </c>
      <c r="D31" s="135">
        <v>119</v>
      </c>
      <c r="E31" s="136"/>
      <c r="F31" s="57">
        <v>68744</v>
      </c>
      <c r="G31" s="57">
        <v>57042</v>
      </c>
      <c r="H31" s="57"/>
      <c r="I31" s="55">
        <v>1.11</v>
      </c>
      <c r="J31" s="55">
        <v>1</v>
      </c>
      <c r="K31" s="55"/>
      <c r="L31" s="129">
        <v>0.578</v>
      </c>
      <c r="M31" s="58">
        <f t="shared" si="0"/>
        <v>529.3</v>
      </c>
      <c r="N31" s="58">
        <f t="shared" si="1"/>
        <v>2615.6</v>
      </c>
      <c r="O31" s="58">
        <f t="shared" si="2"/>
        <v>0</v>
      </c>
      <c r="P31" s="58">
        <f t="shared" si="3"/>
        <v>3144.8999999999996</v>
      </c>
      <c r="Q31" s="56">
        <f t="shared" si="4"/>
        <v>0.578</v>
      </c>
      <c r="S31" s="126">
        <v>0.581</v>
      </c>
    </row>
    <row r="32" spans="1:19" s="56" customFormat="1" ht="15.75">
      <c r="A32" s="53" t="s">
        <v>21</v>
      </c>
      <c r="B32" s="54">
        <v>10</v>
      </c>
      <c r="C32" s="135">
        <v>24</v>
      </c>
      <c r="D32" s="135">
        <v>112</v>
      </c>
      <c r="E32" s="136"/>
      <c r="F32" s="57">
        <v>68744</v>
      </c>
      <c r="G32" s="57">
        <v>57042</v>
      </c>
      <c r="H32" s="57"/>
      <c r="I32" s="55">
        <v>1</v>
      </c>
      <c r="J32" s="55">
        <v>1.12</v>
      </c>
      <c r="K32" s="55"/>
      <c r="L32" s="129">
        <v>0.624</v>
      </c>
      <c r="M32" s="58">
        <f t="shared" si="0"/>
        <v>686.3</v>
      </c>
      <c r="N32" s="58">
        <f t="shared" si="1"/>
        <v>2976.6</v>
      </c>
      <c r="O32" s="58">
        <f t="shared" si="2"/>
        <v>0</v>
      </c>
      <c r="P32" s="58">
        <f t="shared" si="3"/>
        <v>3662.8999999999996</v>
      </c>
      <c r="Q32" s="56">
        <f t="shared" si="4"/>
        <v>0.624</v>
      </c>
      <c r="S32" s="126">
        <v>0.628</v>
      </c>
    </row>
    <row r="33" spans="1:19" s="56" customFormat="1" ht="20.25" customHeight="1">
      <c r="A33" s="53" t="s">
        <v>31</v>
      </c>
      <c r="B33" s="54">
        <v>10</v>
      </c>
      <c r="C33" s="135"/>
      <c r="D33" s="135">
        <v>20</v>
      </c>
      <c r="E33" s="136"/>
      <c r="F33" s="57"/>
      <c r="G33" s="57">
        <v>57042</v>
      </c>
      <c r="H33" s="57"/>
      <c r="I33" s="55"/>
      <c r="J33" s="55">
        <v>1.25</v>
      </c>
      <c r="K33" s="55"/>
      <c r="L33" s="129">
        <v>0.795</v>
      </c>
      <c r="M33" s="58">
        <f t="shared" si="0"/>
        <v>0</v>
      </c>
      <c r="N33" s="58">
        <f t="shared" si="1"/>
        <v>755.8</v>
      </c>
      <c r="O33" s="58">
        <f t="shared" si="2"/>
        <v>0</v>
      </c>
      <c r="P33" s="58">
        <f t="shared" si="3"/>
        <v>755.8</v>
      </c>
      <c r="Q33" s="56">
        <f t="shared" si="4"/>
        <v>0.795</v>
      </c>
      <c r="S33" s="126">
        <v>0.8</v>
      </c>
    </row>
    <row r="34" spans="1:19" s="56" customFormat="1" ht="15.75">
      <c r="A34" s="53" t="s">
        <v>32</v>
      </c>
      <c r="B34" s="54">
        <v>10</v>
      </c>
      <c r="C34" s="135"/>
      <c r="D34" s="135">
        <v>18</v>
      </c>
      <c r="E34" s="136"/>
      <c r="F34" s="57"/>
      <c r="G34" s="57">
        <v>57042</v>
      </c>
      <c r="H34" s="57"/>
      <c r="I34" s="55"/>
      <c r="J34" s="55">
        <v>1.39</v>
      </c>
      <c r="K34" s="55"/>
      <c r="L34" s="129">
        <v>0.84</v>
      </c>
      <c r="M34" s="58">
        <f t="shared" si="0"/>
        <v>0</v>
      </c>
      <c r="N34" s="58">
        <f t="shared" si="1"/>
        <v>799.2</v>
      </c>
      <c r="O34" s="58">
        <f t="shared" si="2"/>
        <v>0</v>
      </c>
      <c r="P34" s="58">
        <f t="shared" si="3"/>
        <v>799.2</v>
      </c>
      <c r="Q34" s="56">
        <f t="shared" si="4"/>
        <v>0.84</v>
      </c>
      <c r="S34" s="126">
        <v>0.845</v>
      </c>
    </row>
    <row r="35" spans="1:19" s="56" customFormat="1" ht="21" customHeight="1">
      <c r="A35" s="53" t="s">
        <v>22</v>
      </c>
      <c r="B35" s="54">
        <v>10</v>
      </c>
      <c r="C35" s="135"/>
      <c r="D35" s="135">
        <v>62</v>
      </c>
      <c r="E35" s="136"/>
      <c r="F35" s="57"/>
      <c r="G35" s="57">
        <v>57042</v>
      </c>
      <c r="H35" s="57"/>
      <c r="I35" s="55"/>
      <c r="J35" s="55">
        <v>1</v>
      </c>
      <c r="K35" s="55"/>
      <c r="L35" s="129">
        <v>0.594</v>
      </c>
      <c r="M35" s="58">
        <f t="shared" si="0"/>
        <v>0</v>
      </c>
      <c r="N35" s="58">
        <f t="shared" si="1"/>
        <v>1400.5</v>
      </c>
      <c r="O35" s="58">
        <f t="shared" si="2"/>
        <v>0</v>
      </c>
      <c r="P35" s="58">
        <f t="shared" si="3"/>
        <v>1400.5</v>
      </c>
      <c r="Q35" s="56">
        <f t="shared" si="4"/>
        <v>0.596</v>
      </c>
      <c r="S35" s="126">
        <v>0.6</v>
      </c>
    </row>
    <row r="36" spans="1:19" s="56" customFormat="1" ht="21" customHeight="1">
      <c r="A36" s="53" t="s">
        <v>33</v>
      </c>
      <c r="B36" s="54">
        <v>9</v>
      </c>
      <c r="C36" s="135"/>
      <c r="D36" s="135">
        <v>12</v>
      </c>
      <c r="E36" s="136"/>
      <c r="F36" s="57"/>
      <c r="G36" s="57">
        <v>51892</v>
      </c>
      <c r="H36" s="57"/>
      <c r="I36" s="55"/>
      <c r="J36" s="55">
        <v>2.08</v>
      </c>
      <c r="K36" s="55"/>
      <c r="L36" s="129">
        <v>0.845</v>
      </c>
      <c r="M36" s="58">
        <f t="shared" si="0"/>
        <v>0</v>
      </c>
      <c r="N36" s="58">
        <f t="shared" si="1"/>
        <v>729.6</v>
      </c>
      <c r="O36" s="58">
        <f t="shared" si="2"/>
        <v>0</v>
      </c>
      <c r="P36" s="58">
        <f t="shared" si="3"/>
        <v>729.6</v>
      </c>
      <c r="Q36" s="56">
        <f t="shared" si="4"/>
        <v>0.845</v>
      </c>
      <c r="S36" s="126">
        <v>0.85</v>
      </c>
    </row>
    <row r="37" spans="1:19" s="56" customFormat="1" ht="15.75">
      <c r="A37" s="53" t="s">
        <v>34</v>
      </c>
      <c r="B37" s="54">
        <v>10</v>
      </c>
      <c r="C37" s="135"/>
      <c r="D37" s="135">
        <v>31</v>
      </c>
      <c r="E37" s="136"/>
      <c r="F37" s="57"/>
      <c r="G37" s="57">
        <v>57042</v>
      </c>
      <c r="H37" s="57"/>
      <c r="I37" s="55"/>
      <c r="J37" s="55">
        <v>1.61</v>
      </c>
      <c r="K37" s="55"/>
      <c r="L37" s="129">
        <v>0.689</v>
      </c>
      <c r="M37" s="58">
        <f t="shared" si="0"/>
        <v>0</v>
      </c>
      <c r="N37" s="58">
        <f t="shared" si="1"/>
        <v>1307.7</v>
      </c>
      <c r="O37" s="58">
        <f t="shared" si="2"/>
        <v>0</v>
      </c>
      <c r="P37" s="58">
        <f t="shared" si="3"/>
        <v>1307.7</v>
      </c>
      <c r="Q37" s="56">
        <f t="shared" si="4"/>
        <v>0.689</v>
      </c>
      <c r="S37" s="126">
        <v>0.693</v>
      </c>
    </row>
    <row r="38" spans="1:19" s="56" customFormat="1" ht="15.75">
      <c r="A38" s="53" t="s">
        <v>35</v>
      </c>
      <c r="B38" s="54">
        <v>10</v>
      </c>
      <c r="C38" s="135"/>
      <c r="D38" s="135">
        <v>26</v>
      </c>
      <c r="E38" s="136"/>
      <c r="F38" s="57"/>
      <c r="G38" s="57">
        <v>57042</v>
      </c>
      <c r="H38" s="57"/>
      <c r="I38" s="55"/>
      <c r="J38" s="55">
        <v>1</v>
      </c>
      <c r="K38" s="55"/>
      <c r="L38" s="129">
        <v>0.872</v>
      </c>
      <c r="M38" s="58">
        <f t="shared" si="0"/>
        <v>0</v>
      </c>
      <c r="N38" s="58">
        <f t="shared" si="1"/>
        <v>862.2</v>
      </c>
      <c r="O38" s="58">
        <f t="shared" si="2"/>
        <v>0</v>
      </c>
      <c r="P38" s="58">
        <f t="shared" si="3"/>
        <v>862.2</v>
      </c>
      <c r="Q38" s="56">
        <f t="shared" si="4"/>
        <v>0.872</v>
      </c>
      <c r="S38" s="126">
        <v>0.877</v>
      </c>
    </row>
    <row r="39" spans="1:19" s="56" customFormat="1" ht="15.75">
      <c r="A39" s="53" t="s">
        <v>36</v>
      </c>
      <c r="B39" s="54">
        <v>10</v>
      </c>
      <c r="C39" s="135"/>
      <c r="D39" s="135">
        <v>34</v>
      </c>
      <c r="E39" s="140"/>
      <c r="F39" s="57"/>
      <c r="G39" s="57">
        <v>57042</v>
      </c>
      <c r="H39" s="57"/>
      <c r="I39" s="55"/>
      <c r="J39" s="55">
        <v>1.47</v>
      </c>
      <c r="K39" s="55"/>
      <c r="L39" s="129">
        <v>0.826</v>
      </c>
      <c r="M39" s="58">
        <f t="shared" si="0"/>
        <v>0</v>
      </c>
      <c r="N39" s="58">
        <f t="shared" si="1"/>
        <v>1569.9</v>
      </c>
      <c r="O39" s="58">
        <f t="shared" si="2"/>
        <v>0</v>
      </c>
      <c r="P39" s="58">
        <f t="shared" si="3"/>
        <v>1569.9</v>
      </c>
      <c r="Q39" s="56">
        <f t="shared" si="4"/>
        <v>0.826</v>
      </c>
      <c r="S39" s="126">
        <v>0.831</v>
      </c>
    </row>
    <row r="40" spans="1:19" s="56" customFormat="1" ht="16.5" customHeight="1">
      <c r="A40" s="53" t="s">
        <v>37</v>
      </c>
      <c r="B40" s="54">
        <v>9</v>
      </c>
      <c r="C40" s="135"/>
      <c r="D40" s="135">
        <v>22</v>
      </c>
      <c r="E40" s="134"/>
      <c r="F40" s="57"/>
      <c r="G40" s="57">
        <v>51892</v>
      </c>
      <c r="H40" s="57"/>
      <c r="I40" s="55"/>
      <c r="J40" s="55">
        <v>1.14</v>
      </c>
      <c r="K40" s="55"/>
      <c r="L40" s="129">
        <v>0.848</v>
      </c>
      <c r="M40" s="58">
        <f t="shared" si="0"/>
        <v>0</v>
      </c>
      <c r="N40" s="58">
        <f t="shared" si="1"/>
        <v>735.8</v>
      </c>
      <c r="O40" s="58">
        <f t="shared" si="2"/>
        <v>0</v>
      </c>
      <c r="P40" s="58">
        <f t="shared" si="3"/>
        <v>735.8</v>
      </c>
      <c r="Q40" s="56">
        <f t="shared" si="4"/>
        <v>0.848</v>
      </c>
      <c r="S40" s="126">
        <v>0.853</v>
      </c>
    </row>
    <row r="41" spans="1:19" s="56" customFormat="1" ht="15" customHeight="1">
      <c r="A41" s="53" t="s">
        <v>38</v>
      </c>
      <c r="B41" s="54">
        <v>10</v>
      </c>
      <c r="C41" s="135"/>
      <c r="D41" s="135">
        <v>34</v>
      </c>
      <c r="E41" s="136"/>
      <c r="F41" s="57"/>
      <c r="G41" s="57">
        <v>57042</v>
      </c>
      <c r="H41" s="57"/>
      <c r="I41" s="55"/>
      <c r="J41" s="55">
        <v>1.47</v>
      </c>
      <c r="K41" s="55"/>
      <c r="L41" s="129">
        <v>0.766</v>
      </c>
      <c r="M41" s="58">
        <f t="shared" si="0"/>
        <v>0</v>
      </c>
      <c r="N41" s="58">
        <f t="shared" si="1"/>
        <v>1455.9</v>
      </c>
      <c r="O41" s="58">
        <f t="shared" si="2"/>
        <v>0</v>
      </c>
      <c r="P41" s="58">
        <f t="shared" si="3"/>
        <v>1455.9</v>
      </c>
      <c r="Q41" s="56">
        <f t="shared" si="4"/>
        <v>0.766</v>
      </c>
      <c r="S41" s="126">
        <v>0.771</v>
      </c>
    </row>
    <row r="42" spans="1:19" s="56" customFormat="1" ht="18.75" customHeight="1">
      <c r="A42" s="53" t="s">
        <v>39</v>
      </c>
      <c r="B42" s="54">
        <v>10</v>
      </c>
      <c r="C42" s="135"/>
      <c r="D42" s="135">
        <v>63</v>
      </c>
      <c r="E42" s="136"/>
      <c r="F42" s="57"/>
      <c r="G42" s="57">
        <v>57042</v>
      </c>
      <c r="H42" s="57"/>
      <c r="I42" s="55"/>
      <c r="J42" s="55">
        <v>1.19</v>
      </c>
      <c r="K42" s="55"/>
      <c r="L42" s="129">
        <v>0.728</v>
      </c>
      <c r="M42" s="58">
        <f t="shared" si="0"/>
        <v>0</v>
      </c>
      <c r="N42" s="58">
        <f t="shared" si="1"/>
        <v>2075.5</v>
      </c>
      <c r="O42" s="58">
        <f t="shared" si="2"/>
        <v>0</v>
      </c>
      <c r="P42" s="58">
        <f t="shared" si="3"/>
        <v>2075.5</v>
      </c>
      <c r="Q42" s="56">
        <f t="shared" si="4"/>
        <v>0.728</v>
      </c>
      <c r="S42" s="126">
        <v>0.732</v>
      </c>
    </row>
    <row r="43" spans="1:19" s="56" customFormat="1" ht="15.75">
      <c r="A43" s="53" t="s">
        <v>40</v>
      </c>
      <c r="B43" s="54">
        <v>9</v>
      </c>
      <c r="C43" s="141"/>
      <c r="D43" s="141">
        <v>12</v>
      </c>
      <c r="E43" s="142"/>
      <c r="F43" s="57"/>
      <c r="G43" s="57">
        <v>51892</v>
      </c>
      <c r="H43" s="57"/>
      <c r="I43" s="55"/>
      <c r="J43" s="55">
        <v>2.08</v>
      </c>
      <c r="K43" s="55"/>
      <c r="L43" s="129">
        <v>0.848</v>
      </c>
      <c r="M43" s="58">
        <f t="shared" si="0"/>
        <v>0</v>
      </c>
      <c r="N43" s="58">
        <f t="shared" si="1"/>
        <v>732.2</v>
      </c>
      <c r="O43" s="58">
        <f t="shared" si="2"/>
        <v>0</v>
      </c>
      <c r="P43" s="58">
        <f t="shared" si="3"/>
        <v>732.2</v>
      </c>
      <c r="Q43" s="56">
        <f t="shared" si="4"/>
        <v>0.848</v>
      </c>
      <c r="S43" s="126">
        <v>0.853</v>
      </c>
    </row>
    <row r="44" spans="1:19" s="56" customFormat="1" ht="17.25" customHeight="1">
      <c r="A44" s="53" t="s">
        <v>23</v>
      </c>
      <c r="B44" s="59">
        <v>10</v>
      </c>
      <c r="C44" s="143"/>
      <c r="D44" s="143">
        <v>40</v>
      </c>
      <c r="E44" s="143"/>
      <c r="F44" s="57"/>
      <c r="G44" s="57">
        <v>57042</v>
      </c>
      <c r="H44" s="57"/>
      <c r="I44" s="55"/>
      <c r="J44" s="55">
        <v>1.25</v>
      </c>
      <c r="K44" s="55"/>
      <c r="L44" s="129">
        <v>0.708</v>
      </c>
      <c r="M44" s="58">
        <f t="shared" si="0"/>
        <v>0</v>
      </c>
      <c r="N44" s="58">
        <f t="shared" si="1"/>
        <v>1346.2</v>
      </c>
      <c r="O44" s="58">
        <f t="shared" si="2"/>
        <v>0</v>
      </c>
      <c r="P44" s="58">
        <f t="shared" si="3"/>
        <v>1346.2</v>
      </c>
      <c r="Q44" s="56">
        <f t="shared" si="4"/>
        <v>0.708</v>
      </c>
      <c r="S44" s="126">
        <v>0.712</v>
      </c>
    </row>
    <row r="45" spans="1:19" s="56" customFormat="1" ht="15.75">
      <c r="A45" s="53" t="s">
        <v>41</v>
      </c>
      <c r="B45" s="54">
        <v>10</v>
      </c>
      <c r="C45" s="133"/>
      <c r="D45" s="133">
        <v>22</v>
      </c>
      <c r="E45" s="144"/>
      <c r="F45" s="57"/>
      <c r="G45" s="57">
        <v>57042</v>
      </c>
      <c r="H45" s="57"/>
      <c r="I45" s="55"/>
      <c r="J45" s="55">
        <v>1.14</v>
      </c>
      <c r="K45" s="55"/>
      <c r="L45" s="129">
        <v>0.906</v>
      </c>
      <c r="M45" s="58">
        <f t="shared" si="0"/>
        <v>0</v>
      </c>
      <c r="N45" s="58">
        <f t="shared" si="1"/>
        <v>864.1</v>
      </c>
      <c r="O45" s="58">
        <f t="shared" si="2"/>
        <v>0</v>
      </c>
      <c r="P45" s="58">
        <f t="shared" si="3"/>
        <v>864.1</v>
      </c>
      <c r="Q45" s="56">
        <f t="shared" si="4"/>
        <v>0.906</v>
      </c>
      <c r="S45" s="126">
        <v>0.911</v>
      </c>
    </row>
    <row r="46" spans="1:19" s="56" customFormat="1" ht="15.75">
      <c r="A46" s="53" t="s">
        <v>42</v>
      </c>
      <c r="B46" s="54">
        <v>9</v>
      </c>
      <c r="C46" s="135"/>
      <c r="D46" s="135">
        <v>7</v>
      </c>
      <c r="E46" s="136"/>
      <c r="F46" s="57"/>
      <c r="G46" s="57">
        <v>51892</v>
      </c>
      <c r="H46" s="57"/>
      <c r="I46" s="55"/>
      <c r="J46" s="55">
        <v>3.57</v>
      </c>
      <c r="K46" s="55"/>
      <c r="L46" s="129">
        <v>0.822</v>
      </c>
      <c r="M46" s="58">
        <f t="shared" si="0"/>
        <v>0</v>
      </c>
      <c r="N46" s="58">
        <f t="shared" si="1"/>
        <v>710.6</v>
      </c>
      <c r="O46" s="58">
        <f t="shared" si="2"/>
        <v>0</v>
      </c>
      <c r="P46" s="58">
        <f t="shared" si="3"/>
        <v>710.6</v>
      </c>
      <c r="Q46" s="56">
        <f t="shared" si="4"/>
        <v>0.822</v>
      </c>
      <c r="S46" s="126">
        <v>0.827</v>
      </c>
    </row>
    <row r="47" spans="1:19" s="56" customFormat="1" ht="22.5" customHeight="1">
      <c r="A47" s="53" t="s">
        <v>43</v>
      </c>
      <c r="B47" s="54">
        <v>10</v>
      </c>
      <c r="C47" s="135"/>
      <c r="D47" s="135">
        <v>15</v>
      </c>
      <c r="E47" s="140"/>
      <c r="F47" s="57"/>
      <c r="G47" s="57">
        <v>57042</v>
      </c>
      <c r="H47" s="57"/>
      <c r="I47" s="55"/>
      <c r="J47" s="55">
        <v>1.67</v>
      </c>
      <c r="K47" s="55"/>
      <c r="L47" s="129">
        <v>0.872</v>
      </c>
      <c r="M47" s="58">
        <f t="shared" si="0"/>
        <v>0</v>
      </c>
      <c r="N47" s="58">
        <f t="shared" si="1"/>
        <v>830.7</v>
      </c>
      <c r="O47" s="58">
        <f t="shared" si="2"/>
        <v>0</v>
      </c>
      <c r="P47" s="58">
        <f t="shared" si="3"/>
        <v>830.7</v>
      </c>
      <c r="Q47" s="56">
        <f t="shared" si="4"/>
        <v>0.872</v>
      </c>
      <c r="S47" s="126">
        <v>0.877</v>
      </c>
    </row>
    <row r="48" spans="1:19" s="56" customFormat="1" ht="15.75">
      <c r="A48" s="53" t="s">
        <v>24</v>
      </c>
      <c r="B48" s="54">
        <v>9</v>
      </c>
      <c r="C48" s="135"/>
      <c r="D48" s="135">
        <v>17</v>
      </c>
      <c r="E48" s="136"/>
      <c r="F48" s="57"/>
      <c r="G48" s="57">
        <v>51892</v>
      </c>
      <c r="H48" s="57"/>
      <c r="I48" s="55"/>
      <c r="J48" s="55">
        <v>1.36</v>
      </c>
      <c r="K48" s="55"/>
      <c r="L48" s="129">
        <v>0.726</v>
      </c>
      <c r="M48" s="58">
        <f t="shared" si="0"/>
        <v>0</v>
      </c>
      <c r="N48" s="58">
        <f t="shared" si="1"/>
        <v>580.7</v>
      </c>
      <c r="O48" s="58">
        <f t="shared" si="2"/>
        <v>0</v>
      </c>
      <c r="P48" s="58">
        <f t="shared" si="3"/>
        <v>580.7</v>
      </c>
      <c r="Q48" s="56">
        <f t="shared" si="4"/>
        <v>0.726</v>
      </c>
      <c r="S48" s="126">
        <v>0.73</v>
      </c>
    </row>
    <row r="49" spans="1:19" s="56" customFormat="1" ht="18" customHeight="1">
      <c r="A49" s="53" t="s">
        <v>44</v>
      </c>
      <c r="B49" s="54">
        <v>10</v>
      </c>
      <c r="C49" s="135"/>
      <c r="D49" s="135">
        <v>21</v>
      </c>
      <c r="E49" s="136"/>
      <c r="F49" s="57"/>
      <c r="G49" s="57">
        <v>57042</v>
      </c>
      <c r="H49" s="57"/>
      <c r="I49" s="55"/>
      <c r="J49" s="55">
        <v>1.19</v>
      </c>
      <c r="K49" s="55"/>
      <c r="L49" s="129">
        <v>0.909</v>
      </c>
      <c r="M49" s="58">
        <f t="shared" si="0"/>
        <v>0</v>
      </c>
      <c r="N49" s="58">
        <f t="shared" si="1"/>
        <v>863.8</v>
      </c>
      <c r="O49" s="58">
        <f t="shared" si="2"/>
        <v>0</v>
      </c>
      <c r="P49" s="58">
        <f t="shared" si="3"/>
        <v>863.8</v>
      </c>
      <c r="Q49" s="56">
        <f t="shared" si="4"/>
        <v>0.909</v>
      </c>
      <c r="S49" s="126">
        <v>0.914</v>
      </c>
    </row>
    <row r="50" spans="1:19" s="56" customFormat="1" ht="34.5" customHeight="1">
      <c r="A50" s="53" t="s">
        <v>45</v>
      </c>
      <c r="B50" s="54">
        <v>9</v>
      </c>
      <c r="C50" s="135"/>
      <c r="D50" s="135">
        <v>9</v>
      </c>
      <c r="E50" s="136"/>
      <c r="F50" s="57"/>
      <c r="G50" s="57">
        <v>51892</v>
      </c>
      <c r="H50" s="57"/>
      <c r="I50" s="55"/>
      <c r="J50" s="55">
        <v>2.78</v>
      </c>
      <c r="K50" s="55"/>
      <c r="L50" s="129">
        <v>0.806</v>
      </c>
      <c r="M50" s="58">
        <f t="shared" si="0"/>
        <v>0</v>
      </c>
      <c r="N50" s="58">
        <f t="shared" si="1"/>
        <v>697.6</v>
      </c>
      <c r="O50" s="58">
        <f t="shared" si="2"/>
        <v>0</v>
      </c>
      <c r="P50" s="58">
        <f t="shared" si="3"/>
        <v>697.6</v>
      </c>
      <c r="Q50" s="56">
        <f t="shared" si="4"/>
        <v>0.807</v>
      </c>
      <c r="S50" s="126">
        <v>0.812</v>
      </c>
    </row>
    <row r="51" spans="1:19" s="56" customFormat="1" ht="31.5">
      <c r="A51" s="53" t="s">
        <v>46</v>
      </c>
      <c r="B51" s="54">
        <v>10</v>
      </c>
      <c r="C51" s="135"/>
      <c r="D51" s="135">
        <v>17</v>
      </c>
      <c r="E51" s="142"/>
      <c r="F51" s="57"/>
      <c r="G51" s="57">
        <v>57042</v>
      </c>
      <c r="H51" s="57"/>
      <c r="I51" s="55"/>
      <c r="J51" s="55">
        <v>1.47</v>
      </c>
      <c r="K51" s="55"/>
      <c r="L51" s="129">
        <v>0.831</v>
      </c>
      <c r="M51" s="58">
        <f t="shared" si="0"/>
        <v>0</v>
      </c>
      <c r="N51" s="58">
        <f t="shared" si="1"/>
        <v>789.7</v>
      </c>
      <c r="O51" s="58">
        <f t="shared" si="2"/>
        <v>0</v>
      </c>
      <c r="P51" s="58">
        <f t="shared" si="3"/>
        <v>789.7</v>
      </c>
      <c r="Q51" s="56">
        <f t="shared" si="4"/>
        <v>0.831</v>
      </c>
      <c r="S51" s="126">
        <v>0.836</v>
      </c>
    </row>
    <row r="52" spans="1:19" s="56" customFormat="1" ht="48" thickBot="1">
      <c r="A52" s="52" t="s">
        <v>55</v>
      </c>
      <c r="B52" s="60"/>
      <c r="C52" s="145">
        <f>SUM(C7:C51)</f>
        <v>405</v>
      </c>
      <c r="D52" s="145">
        <f>SUM(D7:D51)</f>
        <v>2838</v>
      </c>
      <c r="E52" s="146">
        <f>SUM(E7:E51)</f>
        <v>305</v>
      </c>
      <c r="F52" s="61"/>
      <c r="G52" s="57"/>
      <c r="H52" s="57"/>
      <c r="I52" s="57"/>
      <c r="J52" s="57"/>
      <c r="K52" s="57"/>
      <c r="L52" s="130">
        <v>0.909</v>
      </c>
      <c r="M52" s="58">
        <f>SUM(M7:M51)</f>
        <v>14592.799999999996</v>
      </c>
      <c r="N52" s="58">
        <f>SUM(N7:N51)</f>
        <v>87966.90000000001</v>
      </c>
      <c r="O52" s="58">
        <f>SUM(O7:O51)</f>
        <v>22545.3</v>
      </c>
      <c r="P52" s="58">
        <f>SUM(P7:P51)</f>
        <v>125115.9</v>
      </c>
      <c r="S52" s="126"/>
    </row>
    <row r="53" spans="1:19" ht="18" customHeight="1">
      <c r="A53" s="13"/>
      <c r="B53" s="13"/>
      <c r="C53" s="48"/>
      <c r="D53" s="48"/>
      <c r="E53" s="48"/>
      <c r="F53" s="48"/>
      <c r="G53" s="48"/>
      <c r="H53" s="48"/>
      <c r="I53" s="48"/>
      <c r="J53" s="48"/>
      <c r="K53" s="48"/>
      <c r="L53" s="131">
        <v>0.808</v>
      </c>
      <c r="M53" s="48"/>
      <c r="P53" s="31"/>
      <c r="S53" s="127"/>
    </row>
    <row r="54" spans="1:19" ht="15.75">
      <c r="A54" s="14"/>
      <c r="B54" s="14"/>
      <c r="C54" s="49"/>
      <c r="D54" s="49"/>
      <c r="E54" s="49"/>
      <c r="F54" s="50"/>
      <c r="G54" s="49"/>
      <c r="H54" s="49"/>
      <c r="I54" s="49"/>
      <c r="J54" s="49"/>
      <c r="K54" s="49"/>
      <c r="L54" s="132">
        <v>0.832</v>
      </c>
      <c r="M54" s="49"/>
      <c r="S54" s="127"/>
    </row>
    <row r="55" spans="1:19" ht="15.75">
      <c r="A55" s="14"/>
      <c r="B55" s="14"/>
      <c r="C55" s="15"/>
      <c r="D55" s="15"/>
      <c r="P55" s="31"/>
      <c r="S55" s="127"/>
    </row>
    <row r="56" spans="1:19" ht="15.75">
      <c r="A56" s="14"/>
      <c r="B56" s="14"/>
      <c r="C56" s="15"/>
      <c r="D56" s="15"/>
      <c r="S56" s="127"/>
    </row>
    <row r="57" spans="1:19" ht="15.75">
      <c r="A57" s="14"/>
      <c r="B57" s="14"/>
      <c r="C57" s="15"/>
      <c r="D57" s="15"/>
      <c r="S57" s="127"/>
    </row>
    <row r="58" spans="1:19" ht="15.75">
      <c r="A58" s="20"/>
      <c r="B58" s="20"/>
      <c r="C58" s="15"/>
      <c r="D58" s="15"/>
      <c r="S58" s="127"/>
    </row>
    <row r="59" spans="1:19" ht="15.75">
      <c r="A59" s="20"/>
      <c r="B59" s="20"/>
      <c r="C59" s="15"/>
      <c r="D59" s="15"/>
      <c r="S59" s="127"/>
    </row>
    <row r="60" spans="1:19" ht="16.5" customHeight="1">
      <c r="A60" s="14"/>
      <c r="B60" s="14"/>
      <c r="C60" s="15"/>
      <c r="D60" s="15"/>
      <c r="S60" s="127"/>
    </row>
    <row r="61" spans="1:19" ht="15.75">
      <c r="A61" s="14"/>
      <c r="B61" s="14"/>
      <c r="C61" s="15"/>
      <c r="D61" s="15"/>
      <c r="S61" s="127"/>
    </row>
    <row r="62" spans="1:19" ht="15.75">
      <c r="A62" s="14"/>
      <c r="B62" s="14"/>
      <c r="C62" s="15"/>
      <c r="D62" s="15"/>
      <c r="S62" s="127"/>
    </row>
    <row r="63" spans="1:19" ht="15.75">
      <c r="A63" s="14"/>
      <c r="B63" s="14"/>
      <c r="C63" s="15"/>
      <c r="D63" s="15"/>
      <c r="S63" s="127"/>
    </row>
    <row r="64" spans="1:19" ht="15.75">
      <c r="A64" s="14"/>
      <c r="B64" s="14"/>
      <c r="C64" s="15"/>
      <c r="D64" s="15"/>
      <c r="S64" s="127"/>
    </row>
    <row r="65" spans="1:19" ht="15.75">
      <c r="A65" s="14"/>
      <c r="B65" s="14"/>
      <c r="C65" s="15"/>
      <c r="D65" s="15"/>
      <c r="S65" s="127"/>
    </row>
    <row r="66" spans="1:19" ht="15.75">
      <c r="A66" s="21"/>
      <c r="B66" s="21"/>
      <c r="C66" s="22"/>
      <c r="D66" s="22"/>
      <c r="S66" s="127"/>
    </row>
    <row r="67" spans="1:19" s="17" customFormat="1" ht="16.5" customHeight="1">
      <c r="A67" s="324"/>
      <c r="B67" s="324"/>
      <c r="C67" s="324"/>
      <c r="D67" s="324"/>
      <c r="S67" s="128"/>
    </row>
    <row r="68" spans="1:19" ht="15.75">
      <c r="A68" s="20"/>
      <c r="B68" s="20"/>
      <c r="C68" s="15"/>
      <c r="D68" s="15"/>
      <c r="S68" s="127"/>
    </row>
    <row r="69" spans="1:19" ht="15.75">
      <c r="A69" s="20"/>
      <c r="B69" s="20"/>
      <c r="C69" s="15"/>
      <c r="D69" s="15"/>
      <c r="S69" s="127"/>
    </row>
    <row r="70" spans="1:19" ht="15.75">
      <c r="A70" s="20"/>
      <c r="B70" s="20"/>
      <c r="C70" s="15"/>
      <c r="D70" s="15"/>
      <c r="S70" s="127"/>
    </row>
    <row r="71" spans="1:4" ht="15.75">
      <c r="A71" s="20"/>
      <c r="B71" s="20"/>
      <c r="C71" s="15"/>
      <c r="D71" s="15"/>
    </row>
    <row r="72" spans="1:4" ht="18" customHeight="1">
      <c r="A72" s="20"/>
      <c r="B72" s="20"/>
      <c r="C72" s="15"/>
      <c r="D72" s="15"/>
    </row>
    <row r="73" spans="1:4" ht="15.75">
      <c r="A73" s="20"/>
      <c r="B73" s="20"/>
      <c r="C73" s="15"/>
      <c r="D73" s="15"/>
    </row>
    <row r="74" spans="1:4" ht="15.75">
      <c r="A74" s="20"/>
      <c r="B74" s="20"/>
      <c r="C74" s="15"/>
      <c r="D74" s="15"/>
    </row>
    <row r="75" spans="1:4" ht="15.75">
      <c r="A75" s="20"/>
      <c r="B75" s="20"/>
      <c r="C75" s="15"/>
      <c r="D75" s="15"/>
    </row>
    <row r="76" spans="1:4" ht="15.75">
      <c r="A76" s="20"/>
      <c r="B76" s="20"/>
      <c r="C76" s="15"/>
      <c r="D76" s="15"/>
    </row>
    <row r="77" spans="1:4" ht="15.75">
      <c r="A77" s="20"/>
      <c r="B77" s="20"/>
      <c r="C77" s="15"/>
      <c r="D77" s="15"/>
    </row>
    <row r="78" spans="1:4" ht="15.75">
      <c r="A78" s="14"/>
      <c r="B78" s="14"/>
      <c r="C78" s="15"/>
      <c r="D78" s="15"/>
    </row>
    <row r="79" spans="1:4" ht="15.75">
      <c r="A79" s="14"/>
      <c r="B79" s="14"/>
      <c r="C79" s="15"/>
      <c r="D79" s="15"/>
    </row>
    <row r="80" spans="1:4" ht="15.75">
      <c r="A80" s="14"/>
      <c r="B80" s="14"/>
      <c r="C80" s="15"/>
      <c r="D80" s="15"/>
    </row>
    <row r="81" spans="1:4" ht="15.75">
      <c r="A81" s="14"/>
      <c r="B81" s="14"/>
      <c r="C81" s="15"/>
      <c r="D81" s="15"/>
    </row>
    <row r="82" spans="1:4" ht="15.75">
      <c r="A82" s="14"/>
      <c r="B82" s="14"/>
      <c r="C82" s="15"/>
      <c r="D82" s="15"/>
    </row>
    <row r="83" spans="1:4" ht="15.75">
      <c r="A83" s="14"/>
      <c r="B83" s="14"/>
      <c r="C83" s="15"/>
      <c r="D83" s="15"/>
    </row>
    <row r="84" spans="1:4" ht="15.75">
      <c r="A84" s="14"/>
      <c r="B84" s="14"/>
      <c r="C84" s="15"/>
      <c r="D84" s="15"/>
    </row>
    <row r="85" spans="1:4" ht="15.75">
      <c r="A85" s="14"/>
      <c r="B85" s="14"/>
      <c r="C85" s="15"/>
      <c r="D85" s="15"/>
    </row>
    <row r="86" spans="1:4" ht="15.75">
      <c r="A86" s="14"/>
      <c r="B86" s="14"/>
      <c r="C86" s="15"/>
      <c r="D86" s="15"/>
    </row>
    <row r="87" spans="1:4" ht="15.75">
      <c r="A87" s="14"/>
      <c r="B87" s="14"/>
      <c r="C87" s="15"/>
      <c r="D87" s="15"/>
    </row>
    <row r="88" spans="1:4" ht="15.75">
      <c r="A88" s="14"/>
      <c r="B88" s="14"/>
      <c r="C88" s="15"/>
      <c r="D88" s="15"/>
    </row>
    <row r="89" spans="1:4" ht="15.75">
      <c r="A89" s="14"/>
      <c r="B89" s="14"/>
      <c r="C89" s="15"/>
      <c r="D89" s="15"/>
    </row>
    <row r="90" spans="1:4" ht="15.75">
      <c r="A90" s="14"/>
      <c r="B90" s="14"/>
      <c r="C90" s="15"/>
      <c r="D90" s="15"/>
    </row>
    <row r="91" spans="1:4" ht="15.75">
      <c r="A91" s="14"/>
      <c r="B91" s="14"/>
      <c r="C91" s="15"/>
      <c r="D91" s="15"/>
    </row>
    <row r="92" spans="1:4" ht="15.75">
      <c r="A92" s="14"/>
      <c r="B92" s="14"/>
      <c r="C92" s="15"/>
      <c r="D92" s="15"/>
    </row>
    <row r="93" spans="1:4" ht="15.75">
      <c r="A93" s="14"/>
      <c r="B93" s="14"/>
      <c r="C93" s="15"/>
      <c r="D93" s="15"/>
    </row>
    <row r="94" spans="1:4" ht="15.75">
      <c r="A94" s="14"/>
      <c r="B94" s="14"/>
      <c r="C94" s="15"/>
      <c r="D94" s="15"/>
    </row>
    <row r="95" spans="1:4" ht="15.75">
      <c r="A95" s="14"/>
      <c r="B95" s="14"/>
      <c r="C95" s="15"/>
      <c r="D95" s="15"/>
    </row>
    <row r="96" spans="1:4" ht="15.75">
      <c r="A96" s="14"/>
      <c r="B96" s="14"/>
      <c r="C96" s="15"/>
      <c r="D96" s="15"/>
    </row>
    <row r="97" spans="1:4" ht="15.75">
      <c r="A97" s="14"/>
      <c r="B97" s="14"/>
      <c r="C97" s="15"/>
      <c r="D97" s="15"/>
    </row>
    <row r="98" spans="1:4" ht="15.75">
      <c r="A98" s="14"/>
      <c r="B98" s="14"/>
      <c r="C98" s="15"/>
      <c r="D98" s="15"/>
    </row>
    <row r="99" spans="1:4" ht="15.75">
      <c r="A99" s="14"/>
      <c r="B99" s="14"/>
      <c r="C99" s="15"/>
      <c r="D99" s="15"/>
    </row>
    <row r="100" spans="1:4" ht="15.75">
      <c r="A100" s="14"/>
      <c r="B100" s="14"/>
      <c r="C100" s="15"/>
      <c r="D100" s="15"/>
    </row>
    <row r="101" spans="1:4" ht="15.75">
      <c r="A101" s="14"/>
      <c r="B101" s="14"/>
      <c r="C101" s="15"/>
      <c r="D101" s="15"/>
    </row>
    <row r="102" spans="1:4" ht="15.75">
      <c r="A102" s="14"/>
      <c r="B102" s="14"/>
      <c r="C102" s="15"/>
      <c r="D102" s="15"/>
    </row>
    <row r="103" spans="1:4" ht="15.75">
      <c r="A103" s="14"/>
      <c r="B103" s="14"/>
      <c r="C103" s="15"/>
      <c r="D103" s="15"/>
    </row>
    <row r="104" spans="1:4" ht="15.75">
      <c r="A104" s="14"/>
      <c r="B104" s="14"/>
      <c r="C104" s="15"/>
      <c r="D104" s="15"/>
    </row>
    <row r="105" spans="1:4" ht="15.75">
      <c r="A105" s="14"/>
      <c r="B105" s="14"/>
      <c r="C105" s="15"/>
      <c r="D105" s="15"/>
    </row>
    <row r="106" spans="1:4" ht="15.75">
      <c r="A106" s="14"/>
      <c r="B106" s="14"/>
      <c r="C106" s="15"/>
      <c r="D106" s="15"/>
    </row>
    <row r="107" spans="1:4" ht="15.75">
      <c r="A107" s="14"/>
      <c r="B107" s="14"/>
      <c r="C107" s="15"/>
      <c r="D107" s="15"/>
    </row>
    <row r="108" spans="1:4" ht="15.75">
      <c r="A108" s="14"/>
      <c r="B108" s="14"/>
      <c r="C108" s="15"/>
      <c r="D108" s="15"/>
    </row>
    <row r="109" spans="1:4" ht="15.75">
      <c r="A109" s="14"/>
      <c r="B109" s="14"/>
      <c r="C109" s="15"/>
      <c r="D109" s="15"/>
    </row>
    <row r="110" spans="1:4" ht="15.75">
      <c r="A110" s="14"/>
      <c r="B110" s="14"/>
      <c r="C110" s="15"/>
      <c r="D110" s="15"/>
    </row>
    <row r="111" spans="1:4" ht="15.75">
      <c r="A111" s="14"/>
      <c r="B111" s="14"/>
      <c r="C111" s="15"/>
      <c r="D111" s="15"/>
    </row>
    <row r="112" spans="1:4" ht="15.75">
      <c r="A112" s="23"/>
      <c r="B112" s="23"/>
      <c r="C112" s="22"/>
      <c r="D112" s="22"/>
    </row>
    <row r="113" spans="1:4" ht="15.75">
      <c r="A113" s="23"/>
      <c r="B113" s="23"/>
      <c r="C113" s="6"/>
      <c r="D113" s="6"/>
    </row>
    <row r="114" spans="1:4" ht="15.75">
      <c r="A114" s="16"/>
      <c r="B114" s="16"/>
      <c r="C114" s="15"/>
      <c r="D114" s="15"/>
    </row>
  </sheetData>
  <sheetProtection/>
  <mergeCells count="18">
    <mergeCell ref="G1:H1"/>
    <mergeCell ref="B2:H2"/>
    <mergeCell ref="C5:E5"/>
    <mergeCell ref="F5:H5"/>
    <mergeCell ref="I5:K5"/>
    <mergeCell ref="M5:O5"/>
    <mergeCell ref="A1:D1"/>
    <mergeCell ref="F3:H3"/>
    <mergeCell ref="M3:P3"/>
    <mergeCell ref="A4:A5"/>
    <mergeCell ref="P4:P6"/>
    <mergeCell ref="A67:D67"/>
    <mergeCell ref="B4:B6"/>
    <mergeCell ref="C4:E4"/>
    <mergeCell ref="F4:H4"/>
    <mergeCell ref="I4:K4"/>
    <mergeCell ref="L4:L6"/>
    <mergeCell ref="M4:O4"/>
  </mergeCells>
  <printOptions horizontalCentered="1"/>
  <pageMargins left="0" right="0" top="0.5905511811023623" bottom="0" header="0" footer="0"/>
  <pageSetup horizontalDpi="600" verticalDpi="600" orientation="portrait" paperSize="9" scale="55" r:id="rId1"/>
  <rowBreaks count="1" manualBreakCount="1">
    <brk id="52" max="255" man="1"/>
  </rowBreaks>
  <colBreaks count="1" manualBreakCount="1">
    <brk id="8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14"/>
  <sheetViews>
    <sheetView view="pageBreakPreview" zoomScale="70" zoomScaleNormal="71" zoomScaleSheetLayoutView="70" zoomScalePageLayoutView="0" workbookViewId="0" topLeftCell="A1">
      <pane xSplit="1" ySplit="6" topLeftCell="B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" sqref="G4:G6"/>
    </sheetView>
  </sheetViews>
  <sheetFormatPr defaultColWidth="9.140625" defaultRowHeight="12.75"/>
  <cols>
    <col min="1" max="1" width="30.8515625" style="247" customWidth="1"/>
    <col min="2" max="2" width="22.00390625" style="247" customWidth="1"/>
    <col min="3" max="3" width="22.28125" style="247" customWidth="1"/>
    <col min="4" max="7" width="22.00390625" style="247" customWidth="1"/>
    <col min="8" max="8" width="0.13671875" style="247" customWidth="1"/>
    <col min="9" max="10" width="24.140625" style="249" hidden="1" customWidth="1"/>
    <col min="11" max="11" width="14.7109375" style="249" customWidth="1"/>
    <col min="12" max="12" width="17.140625" style="249" customWidth="1"/>
    <col min="13" max="13" width="15.28125" style="247" customWidth="1"/>
    <col min="14" max="14" width="16.140625" style="247" customWidth="1"/>
    <col min="15" max="15" width="17.00390625" style="247" customWidth="1"/>
    <col min="16" max="16" width="15.7109375" style="247" customWidth="1"/>
    <col min="17" max="17" width="19.140625" style="247" customWidth="1"/>
    <col min="18" max="18" width="19.8515625" style="247" customWidth="1"/>
    <col min="19" max="19" width="19.00390625" style="247" customWidth="1"/>
    <col min="20" max="20" width="31.00390625" style="247" customWidth="1"/>
    <col min="21" max="16384" width="9.140625" style="247" customWidth="1"/>
  </cols>
  <sheetData>
    <row r="1" spans="1:7" ht="15.75">
      <c r="A1" s="248"/>
      <c r="G1" s="247" t="s">
        <v>87</v>
      </c>
    </row>
    <row r="2" spans="1:9" ht="84.75" customHeight="1">
      <c r="A2" s="356" t="s">
        <v>122</v>
      </c>
      <c r="B2" s="356"/>
      <c r="C2" s="356"/>
      <c r="D2" s="356"/>
      <c r="E2" s="356"/>
      <c r="F2" s="356"/>
      <c r="G2" s="356"/>
      <c r="H2" s="147"/>
      <c r="I2" s="147"/>
    </row>
    <row r="3" ht="15.75" customHeight="1">
      <c r="A3" s="248"/>
    </row>
    <row r="4" spans="1:20" ht="94.5" customHeight="1">
      <c r="A4" s="360" t="s">
        <v>54</v>
      </c>
      <c r="B4" s="360" t="s">
        <v>125</v>
      </c>
      <c r="C4" s="360" t="s">
        <v>124</v>
      </c>
      <c r="D4" s="360" t="s">
        <v>123</v>
      </c>
      <c r="E4" s="360" t="s">
        <v>126</v>
      </c>
      <c r="F4" s="360" t="s">
        <v>127</v>
      </c>
      <c r="G4" s="360" t="s">
        <v>128</v>
      </c>
      <c r="H4" s="315" t="s">
        <v>74</v>
      </c>
      <c r="I4" s="363" t="s">
        <v>75</v>
      </c>
      <c r="J4" s="364"/>
      <c r="K4" s="250"/>
      <c r="L4" s="358"/>
      <c r="M4" s="358"/>
      <c r="N4" s="358"/>
      <c r="O4" s="358"/>
      <c r="P4" s="358"/>
      <c r="Q4" s="358"/>
      <c r="R4" s="358"/>
      <c r="S4" s="359"/>
      <c r="T4" s="249"/>
    </row>
    <row r="5" spans="1:20" ht="117.75" customHeight="1">
      <c r="A5" s="361"/>
      <c r="B5" s="361"/>
      <c r="C5" s="361"/>
      <c r="D5" s="361"/>
      <c r="E5" s="361"/>
      <c r="F5" s="361"/>
      <c r="G5" s="361"/>
      <c r="H5" s="315"/>
      <c r="I5" s="149"/>
      <c r="J5" s="251"/>
      <c r="K5" s="250"/>
      <c r="L5" s="358"/>
      <c r="M5" s="358"/>
      <c r="N5" s="358"/>
      <c r="O5" s="358"/>
      <c r="P5" s="358"/>
      <c r="Q5" s="358"/>
      <c r="R5" s="358"/>
      <c r="S5" s="359"/>
      <c r="T5" s="249"/>
    </row>
    <row r="6" spans="1:20" ht="174.75" customHeight="1">
      <c r="A6" s="362"/>
      <c r="B6" s="362"/>
      <c r="C6" s="362"/>
      <c r="D6" s="362"/>
      <c r="E6" s="362"/>
      <c r="F6" s="362"/>
      <c r="G6" s="362"/>
      <c r="H6" s="315"/>
      <c r="I6" s="149" t="s">
        <v>76</v>
      </c>
      <c r="J6" s="149" t="s">
        <v>77</v>
      </c>
      <c r="K6" s="250"/>
      <c r="L6" s="358"/>
      <c r="M6" s="358"/>
      <c r="N6" s="358"/>
      <c r="O6" s="358"/>
      <c r="P6" s="358"/>
      <c r="Q6" s="358"/>
      <c r="R6" s="358"/>
      <c r="S6" s="359"/>
      <c r="T6" s="249"/>
    </row>
    <row r="7" spans="1:20" ht="23.25" customHeight="1">
      <c r="A7" s="10" t="s">
        <v>2</v>
      </c>
      <c r="B7" s="252">
        <f>'Для корректировки'!P7</f>
        <v>2848.6</v>
      </c>
      <c r="C7" s="253">
        <f>'[2]Корректировка'!$C6</f>
        <v>1349.8</v>
      </c>
      <c r="D7" s="252">
        <f>B7+C7</f>
        <v>4198.4</v>
      </c>
      <c r="E7" s="252">
        <f>'Полное финобеспечение-факт'!D6</f>
        <v>125.7</v>
      </c>
      <c r="F7" s="252">
        <f>'Общехоз.'!W8</f>
        <v>1167</v>
      </c>
      <c r="G7" s="252">
        <f>SUM(D7:F7)</f>
        <v>5491.099999999999</v>
      </c>
      <c r="H7" s="252">
        <f>D7-'[3]Корректировка'!$C6</f>
        <v>149.09999999999945</v>
      </c>
      <c r="I7" s="252">
        <f>ROUND(H7/1.302,1)</f>
        <v>114.5</v>
      </c>
      <c r="J7" s="252">
        <f>H7-I7</f>
        <v>34.599999999999454</v>
      </c>
      <c r="K7" s="254"/>
      <c r="L7" s="255"/>
      <c r="M7" s="255"/>
      <c r="N7" s="255"/>
      <c r="O7" s="255"/>
      <c r="P7" s="256"/>
      <c r="Q7" s="255"/>
      <c r="R7" s="255"/>
      <c r="S7" s="249"/>
      <c r="T7" s="249"/>
    </row>
    <row r="8" spans="1:20" ht="15.75">
      <c r="A8" s="10" t="s">
        <v>3</v>
      </c>
      <c r="B8" s="252">
        <f>'Для корректировки'!P8</f>
        <v>3730.1</v>
      </c>
      <c r="C8" s="253">
        <f>'[2]Корректировка'!$C7</f>
        <v>1765.3</v>
      </c>
      <c r="D8" s="252">
        <f aca="true" t="shared" si="0" ref="D8:D51">B8+C8</f>
        <v>5495.4</v>
      </c>
      <c r="E8" s="252">
        <f>'Полное финобеспечение-факт'!D7</f>
        <v>128.9</v>
      </c>
      <c r="F8" s="252">
        <f>'Общехоз.'!W9</f>
        <v>1381.9</v>
      </c>
      <c r="G8" s="252">
        <f aca="true" t="shared" si="1" ref="G8:G51">SUM(D8:F8)</f>
        <v>7006.199999999999</v>
      </c>
      <c r="H8" s="252">
        <f>D8-'[3]Корректировка'!$C7</f>
        <v>199.5</v>
      </c>
      <c r="I8" s="252">
        <f aca="true" t="shared" si="2" ref="I8:I51">ROUND(H8/1.302,1)</f>
        <v>153.2</v>
      </c>
      <c r="J8" s="252">
        <f aca="true" t="shared" si="3" ref="J8:J51">H8-I8</f>
        <v>46.30000000000001</v>
      </c>
      <c r="K8" s="254"/>
      <c r="L8" s="255"/>
      <c r="M8" s="255"/>
      <c r="N8" s="255"/>
      <c r="O8" s="255"/>
      <c r="P8" s="256"/>
      <c r="Q8" s="255"/>
      <c r="R8" s="255"/>
      <c r="S8" s="249"/>
      <c r="T8" s="249"/>
    </row>
    <row r="9" spans="1:20" ht="15.75">
      <c r="A9" s="10" t="s">
        <v>4</v>
      </c>
      <c r="B9" s="252">
        <f>'Для корректировки'!P9</f>
        <v>4528.5</v>
      </c>
      <c r="C9" s="253">
        <f>'[2]Корректировка'!$C8</f>
        <v>2142.8</v>
      </c>
      <c r="D9" s="252">
        <f t="shared" si="0"/>
        <v>6671.3</v>
      </c>
      <c r="E9" s="252">
        <f>'Полное финобеспечение-факт'!D8</f>
        <v>133.9</v>
      </c>
      <c r="F9" s="252">
        <f>'Общехоз.'!W10</f>
        <v>1572.1</v>
      </c>
      <c r="G9" s="252">
        <f t="shared" si="1"/>
        <v>8377.3</v>
      </c>
      <c r="H9" s="252">
        <f>D9-'[3]Корректировка'!$C8</f>
        <v>243.09999999999945</v>
      </c>
      <c r="I9" s="252">
        <f t="shared" si="2"/>
        <v>186.7</v>
      </c>
      <c r="J9" s="252">
        <f t="shared" si="3"/>
        <v>56.399999999999466</v>
      </c>
      <c r="K9" s="254"/>
      <c r="L9" s="255"/>
      <c r="M9" s="255"/>
      <c r="N9" s="255"/>
      <c r="O9" s="255"/>
      <c r="P9" s="256"/>
      <c r="Q9" s="255"/>
      <c r="R9" s="255"/>
      <c r="S9" s="249"/>
      <c r="T9" s="249"/>
    </row>
    <row r="10" spans="1:20" ht="15.75" customHeight="1">
      <c r="A10" s="10" t="s">
        <v>5</v>
      </c>
      <c r="B10" s="252">
        <f>'Для корректировки'!P10</f>
        <v>9515.099999999999</v>
      </c>
      <c r="C10" s="253">
        <f>'[2]Корректировка'!$C9</f>
        <v>4528.799999999999</v>
      </c>
      <c r="D10" s="252">
        <f t="shared" si="0"/>
        <v>14043.899999999998</v>
      </c>
      <c r="E10" s="252">
        <f>'Полное финобеспечение-факт'!D9</f>
        <v>266.7</v>
      </c>
      <c r="F10" s="252">
        <f>'Общехоз.'!W11</f>
        <v>2391.7</v>
      </c>
      <c r="G10" s="252">
        <f t="shared" si="1"/>
        <v>16702.3</v>
      </c>
      <c r="H10" s="252">
        <f>D10-'[3]Корректировка'!$C9</f>
        <v>457.29999999999745</v>
      </c>
      <c r="I10" s="252">
        <f t="shared" si="2"/>
        <v>351.2</v>
      </c>
      <c r="J10" s="252">
        <f t="shared" si="3"/>
        <v>106.09999999999746</v>
      </c>
      <c r="K10" s="254"/>
      <c r="L10" s="255"/>
      <c r="M10" s="255"/>
      <c r="N10" s="255"/>
      <c r="O10" s="255"/>
      <c r="P10" s="256"/>
      <c r="Q10" s="255"/>
      <c r="R10" s="255"/>
      <c r="S10" s="249"/>
      <c r="T10" s="249"/>
    </row>
    <row r="11" spans="1:20" ht="15.75">
      <c r="A11" s="10" t="s">
        <v>6</v>
      </c>
      <c r="B11" s="252">
        <f>'Для корректировки'!P11</f>
        <v>9851.099999999999</v>
      </c>
      <c r="C11" s="253">
        <f>'[2]Корректировка'!$C10</f>
        <v>4676.9</v>
      </c>
      <c r="D11" s="252">
        <f t="shared" si="0"/>
        <v>14527.999999999998</v>
      </c>
      <c r="E11" s="252">
        <f>'Полное финобеспечение-факт'!D10</f>
        <v>220.5</v>
      </c>
      <c r="F11" s="252">
        <f>'Общехоз.'!W12</f>
        <v>2368.6000000000004</v>
      </c>
      <c r="G11" s="252">
        <f t="shared" si="1"/>
        <v>17117.1</v>
      </c>
      <c r="H11" s="252">
        <f>D11-'[3]Корректировка'!$C10</f>
        <v>497.3999999999978</v>
      </c>
      <c r="I11" s="252">
        <f t="shared" si="2"/>
        <v>382</v>
      </c>
      <c r="J11" s="252">
        <f t="shared" si="3"/>
        <v>115.39999999999782</v>
      </c>
      <c r="K11" s="254"/>
      <c r="L11" s="255"/>
      <c r="M11" s="255"/>
      <c r="N11" s="255"/>
      <c r="O11" s="255"/>
      <c r="P11" s="256"/>
      <c r="Q11" s="255"/>
      <c r="R11" s="255"/>
      <c r="S11" s="249"/>
      <c r="T11" s="249"/>
    </row>
    <row r="12" spans="1:20" ht="15.75">
      <c r="A12" s="10" t="s">
        <v>7</v>
      </c>
      <c r="B12" s="252">
        <f>'Для корректировки'!P12</f>
        <v>4473.7</v>
      </c>
      <c r="C12" s="253">
        <f>'[2]Корректировка'!$C11</f>
        <v>2119.6</v>
      </c>
      <c r="D12" s="252">
        <f t="shared" si="0"/>
        <v>6593.299999999999</v>
      </c>
      <c r="E12" s="252">
        <f>'Полное финобеспечение-факт'!D11</f>
        <v>115.2</v>
      </c>
      <c r="F12" s="252">
        <f>'Общехоз.'!W13</f>
        <v>1511.6999999999998</v>
      </c>
      <c r="G12" s="252">
        <f t="shared" si="1"/>
        <v>8220.199999999999</v>
      </c>
      <c r="H12" s="252">
        <f>D12-'[3]Корректировка'!$C11</f>
        <v>234.4999999999991</v>
      </c>
      <c r="I12" s="252">
        <f t="shared" si="2"/>
        <v>180.1</v>
      </c>
      <c r="J12" s="252">
        <f t="shared" si="3"/>
        <v>54.399999999999096</v>
      </c>
      <c r="K12" s="254"/>
      <c r="L12" s="255"/>
      <c r="M12" s="255"/>
      <c r="N12" s="255"/>
      <c r="O12" s="255"/>
      <c r="P12" s="256"/>
      <c r="Q12" s="255"/>
      <c r="R12" s="255"/>
      <c r="S12" s="257"/>
      <c r="T12" s="249"/>
    </row>
    <row r="13" spans="1:20" ht="15.75" customHeight="1">
      <c r="A13" s="10" t="s">
        <v>8</v>
      </c>
      <c r="B13" s="252">
        <f>'Для корректировки'!P13</f>
        <v>10428.599999999999</v>
      </c>
      <c r="C13" s="253">
        <f>'[2]Корректировка'!$C12</f>
        <v>4963.1</v>
      </c>
      <c r="D13" s="252">
        <f t="shared" si="0"/>
        <v>15391.699999999999</v>
      </c>
      <c r="E13" s="252">
        <f>'Полное финобеспечение-факт'!D12</f>
        <v>252.7</v>
      </c>
      <c r="F13" s="252">
        <f>'Общехоз.'!W14</f>
        <v>2368.5000000000005</v>
      </c>
      <c r="G13" s="252">
        <f t="shared" si="1"/>
        <v>18012.9</v>
      </c>
      <c r="H13" s="252">
        <f>D13-'[3]Корректировка'!$C12</f>
        <v>502.1999999999989</v>
      </c>
      <c r="I13" s="252">
        <f t="shared" si="2"/>
        <v>385.7</v>
      </c>
      <c r="J13" s="252">
        <f t="shared" si="3"/>
        <v>116.49999999999892</v>
      </c>
      <c r="K13" s="254"/>
      <c r="L13" s="255"/>
      <c r="M13" s="255"/>
      <c r="N13" s="255"/>
      <c r="O13" s="255"/>
      <c r="P13" s="256"/>
      <c r="Q13" s="255"/>
      <c r="R13" s="255"/>
      <c r="S13" s="249"/>
      <c r="T13" s="249"/>
    </row>
    <row r="14" spans="1:20" ht="15.75">
      <c r="A14" s="10" t="s">
        <v>9</v>
      </c>
      <c r="B14" s="252">
        <f>'Для корректировки'!P14</f>
        <v>10232.4</v>
      </c>
      <c r="C14" s="253">
        <f>'[2]Корректировка'!$C13</f>
        <v>4868.700000000001</v>
      </c>
      <c r="D14" s="252">
        <f t="shared" si="0"/>
        <v>15101.1</v>
      </c>
      <c r="E14" s="252">
        <f>'Полное финобеспечение-факт'!D13</f>
        <v>233.1</v>
      </c>
      <c r="F14" s="252">
        <f>'Общехоз.'!W15</f>
        <v>2235</v>
      </c>
      <c r="G14" s="252">
        <f t="shared" si="1"/>
        <v>17569.2</v>
      </c>
      <c r="H14" s="252">
        <f>D14-'[3]Корректировка'!$C13</f>
        <v>495.2000000000007</v>
      </c>
      <c r="I14" s="252">
        <f t="shared" si="2"/>
        <v>380.3</v>
      </c>
      <c r="J14" s="252">
        <f t="shared" si="3"/>
        <v>114.90000000000072</v>
      </c>
      <c r="K14" s="254"/>
      <c r="L14" s="255"/>
      <c r="M14" s="255"/>
      <c r="N14" s="255"/>
      <c r="O14" s="255"/>
      <c r="P14" s="256"/>
      <c r="Q14" s="255"/>
      <c r="R14" s="255"/>
      <c r="S14" s="249"/>
      <c r="T14" s="249"/>
    </row>
    <row r="15" spans="1:20" ht="15.75">
      <c r="A15" s="10" t="s">
        <v>10</v>
      </c>
      <c r="B15" s="252">
        <f>'Для корректировки'!P15</f>
        <v>9064.9</v>
      </c>
      <c r="C15" s="253">
        <f>'[2]Корректировка'!$C14</f>
        <v>4310.799999999999</v>
      </c>
      <c r="D15" s="252">
        <f t="shared" si="0"/>
        <v>13375.699999999999</v>
      </c>
      <c r="E15" s="252">
        <f>'Полное финобеспечение-факт'!D14</f>
        <v>195.39999999999998</v>
      </c>
      <c r="F15" s="252">
        <f>'Общехоз.'!W16</f>
        <v>2838.2000000000003</v>
      </c>
      <c r="G15" s="252">
        <f t="shared" si="1"/>
        <v>16409.3</v>
      </c>
      <c r="H15" s="252">
        <f>D15-'[3]Корректировка'!$C14</f>
        <v>443.10000000000036</v>
      </c>
      <c r="I15" s="252">
        <f t="shared" si="2"/>
        <v>340.3</v>
      </c>
      <c r="J15" s="252">
        <f t="shared" si="3"/>
        <v>102.80000000000035</v>
      </c>
      <c r="K15" s="254"/>
      <c r="L15" s="255"/>
      <c r="M15" s="255"/>
      <c r="N15" s="255"/>
      <c r="O15" s="255"/>
      <c r="P15" s="249"/>
      <c r="Q15" s="255"/>
      <c r="R15" s="255"/>
      <c r="S15" s="257"/>
      <c r="T15" s="249"/>
    </row>
    <row r="16" spans="1:20" ht="15.75" customHeight="1">
      <c r="A16" s="10" t="s">
        <v>11</v>
      </c>
      <c r="B16" s="252">
        <f>'Для корректировки'!P16</f>
        <v>8984.3</v>
      </c>
      <c r="C16" s="253">
        <f>'[2]Корректировка'!$C15</f>
        <v>4268.1</v>
      </c>
      <c r="D16" s="252">
        <f t="shared" si="0"/>
        <v>13252.4</v>
      </c>
      <c r="E16" s="252">
        <f>'Полное финобеспечение-факт'!D15</f>
        <v>294.1</v>
      </c>
      <c r="F16" s="252">
        <f>'Общехоз.'!W17</f>
        <v>2526.2</v>
      </c>
      <c r="G16" s="252">
        <f t="shared" si="1"/>
        <v>16072.7</v>
      </c>
      <c r="H16" s="252">
        <f>D16-'[3]Корректировка'!$C15</f>
        <v>448.09999999999854</v>
      </c>
      <c r="I16" s="252">
        <f t="shared" si="2"/>
        <v>344.2</v>
      </c>
      <c r="J16" s="252">
        <f t="shared" si="3"/>
        <v>103.89999999999856</v>
      </c>
      <c r="K16" s="254"/>
      <c r="L16" s="255"/>
      <c r="M16" s="255"/>
      <c r="N16" s="255"/>
      <c r="O16" s="255"/>
      <c r="P16" s="249"/>
      <c r="Q16" s="255"/>
      <c r="R16" s="255"/>
      <c r="S16" s="249"/>
      <c r="T16" s="249"/>
    </row>
    <row r="17" spans="1:20" ht="15.75">
      <c r="A17" s="11" t="s">
        <v>12</v>
      </c>
      <c r="B17" s="252">
        <f>'Для корректировки'!P17</f>
        <v>3648.7</v>
      </c>
      <c r="C17" s="253">
        <f>'[2]Корректировка'!$C16</f>
        <v>1746.9</v>
      </c>
      <c r="D17" s="252">
        <f t="shared" si="0"/>
        <v>5395.6</v>
      </c>
      <c r="E17" s="252">
        <f>'Полное финобеспечение-факт'!D16</f>
        <v>125.3</v>
      </c>
      <c r="F17" s="252">
        <f>'Общехоз.'!W18</f>
        <v>1966.3</v>
      </c>
      <c r="G17" s="252">
        <f t="shared" si="1"/>
        <v>7487.200000000001</v>
      </c>
      <c r="H17" s="252">
        <f>D17-'[3]Корректировка'!$C16</f>
        <v>155</v>
      </c>
      <c r="I17" s="252">
        <f t="shared" si="2"/>
        <v>119</v>
      </c>
      <c r="J17" s="252">
        <f t="shared" si="3"/>
        <v>36</v>
      </c>
      <c r="K17" s="254"/>
      <c r="L17" s="255"/>
      <c r="M17" s="255"/>
      <c r="N17" s="255"/>
      <c r="O17" s="255"/>
      <c r="P17" s="249"/>
      <c r="Q17" s="255"/>
      <c r="R17" s="255"/>
      <c r="S17" s="249"/>
      <c r="T17" s="249"/>
    </row>
    <row r="18" spans="1:20" ht="15.75">
      <c r="A18" s="10" t="s">
        <v>26</v>
      </c>
      <c r="B18" s="252">
        <f>'Для корректировки'!P18</f>
        <v>818.7</v>
      </c>
      <c r="C18" s="253">
        <f>'[2]Корректировка'!$C17</f>
        <v>385</v>
      </c>
      <c r="D18" s="252">
        <f t="shared" si="0"/>
        <v>1203.7</v>
      </c>
      <c r="E18" s="252">
        <f>'Полное финобеспечение-факт'!D17</f>
        <v>34</v>
      </c>
      <c r="F18" s="252">
        <f>'Общехоз.'!W19</f>
        <v>770.6999999999998</v>
      </c>
      <c r="G18" s="252">
        <f t="shared" si="1"/>
        <v>2008.3999999999999</v>
      </c>
      <c r="H18" s="252">
        <f>D18-'[3]Корректировка'!$C17</f>
        <v>48.799999999999955</v>
      </c>
      <c r="I18" s="252">
        <f t="shared" si="2"/>
        <v>37.5</v>
      </c>
      <c r="J18" s="252">
        <f t="shared" si="3"/>
        <v>11.299999999999955</v>
      </c>
      <c r="K18" s="254"/>
      <c r="L18" s="255"/>
      <c r="M18" s="255"/>
      <c r="N18" s="255"/>
      <c r="O18" s="255"/>
      <c r="P18" s="256"/>
      <c r="Q18" s="255"/>
      <c r="R18" s="255"/>
      <c r="S18" s="249"/>
      <c r="T18" s="249"/>
    </row>
    <row r="19" spans="1:20" ht="15.75" customHeight="1">
      <c r="A19" s="10" t="s">
        <v>25</v>
      </c>
      <c r="B19" s="252">
        <v>955.9</v>
      </c>
      <c r="C19" s="253">
        <f>'[2]Корректировка'!$C18</f>
        <v>500.4</v>
      </c>
      <c r="D19" s="252">
        <f t="shared" si="0"/>
        <v>1456.3</v>
      </c>
      <c r="E19" s="252">
        <f>'Полное финобеспечение-факт'!D18</f>
        <v>37.5</v>
      </c>
      <c r="F19" s="252">
        <f>'Общехоз.'!W20</f>
        <v>494.5</v>
      </c>
      <c r="G19" s="252">
        <f t="shared" si="1"/>
        <v>1988.3</v>
      </c>
      <c r="H19" s="252">
        <f>D19-'[3]Корректировка'!$C18</f>
        <v>-45</v>
      </c>
      <c r="I19" s="252">
        <f t="shared" si="2"/>
        <v>-34.6</v>
      </c>
      <c r="J19" s="252">
        <f t="shared" si="3"/>
        <v>-10.399999999999999</v>
      </c>
      <c r="K19" s="254"/>
      <c r="L19" s="255"/>
      <c r="M19" s="255"/>
      <c r="N19" s="255"/>
      <c r="O19" s="255"/>
      <c r="P19" s="256"/>
      <c r="Q19" s="255"/>
      <c r="R19" s="255"/>
      <c r="S19" s="257"/>
      <c r="T19" s="249"/>
    </row>
    <row r="20" spans="1:20" ht="15.75">
      <c r="A20" s="10" t="s">
        <v>13</v>
      </c>
      <c r="B20" s="252">
        <f>'Для корректировки'!P20</f>
        <v>2008</v>
      </c>
      <c r="C20" s="253">
        <f>'[2]Корректировка'!$C19</f>
        <v>944.7</v>
      </c>
      <c r="D20" s="252">
        <f t="shared" si="0"/>
        <v>2952.7</v>
      </c>
      <c r="E20" s="252">
        <f>'Полное финобеспечение-факт'!D19</f>
        <v>49</v>
      </c>
      <c r="F20" s="252">
        <f>'Общехоз.'!W21</f>
        <v>1048.8999999999999</v>
      </c>
      <c r="G20" s="252">
        <f t="shared" si="1"/>
        <v>4050.5999999999995</v>
      </c>
      <c r="H20" s="252">
        <f>D20-'[3]Корректировка'!$C19</f>
        <v>118.59999999999991</v>
      </c>
      <c r="I20" s="252">
        <f t="shared" si="2"/>
        <v>91.1</v>
      </c>
      <c r="J20" s="252">
        <f t="shared" si="3"/>
        <v>27.499999999999915</v>
      </c>
      <c r="K20" s="254"/>
      <c r="L20" s="255"/>
      <c r="M20" s="255"/>
      <c r="N20" s="255"/>
      <c r="O20" s="255"/>
      <c r="P20" s="256"/>
      <c r="Q20" s="255"/>
      <c r="R20" s="255"/>
      <c r="S20" s="249"/>
      <c r="T20" s="249"/>
    </row>
    <row r="21" spans="1:20" ht="15.75">
      <c r="A21" s="10" t="s">
        <v>14</v>
      </c>
      <c r="B21" s="252">
        <f>'Для корректировки'!P21</f>
        <v>1470.2</v>
      </c>
      <c r="C21" s="253">
        <f>'[2]Корректировка'!$C20</f>
        <v>691.6</v>
      </c>
      <c r="D21" s="252">
        <f t="shared" si="0"/>
        <v>2161.8</v>
      </c>
      <c r="E21" s="252">
        <f>'Полное финобеспечение-факт'!D20</f>
        <v>30</v>
      </c>
      <c r="F21" s="252">
        <f>'Общехоз.'!W22</f>
        <v>892</v>
      </c>
      <c r="G21" s="252">
        <f t="shared" si="1"/>
        <v>3083.8</v>
      </c>
      <c r="H21" s="252">
        <f>D21-'[3]Корректировка'!$C20</f>
        <v>86.90000000000009</v>
      </c>
      <c r="I21" s="252">
        <f t="shared" si="2"/>
        <v>66.7</v>
      </c>
      <c r="J21" s="252">
        <f t="shared" si="3"/>
        <v>20.200000000000088</v>
      </c>
      <c r="K21" s="254"/>
      <c r="L21" s="255"/>
      <c r="M21" s="255"/>
      <c r="N21" s="255"/>
      <c r="O21" s="255"/>
      <c r="P21" s="256"/>
      <c r="Q21" s="255"/>
      <c r="R21" s="255"/>
      <c r="S21" s="257"/>
      <c r="T21" s="249"/>
    </row>
    <row r="22" spans="1:20" ht="15.75" customHeight="1">
      <c r="A22" s="10" t="s">
        <v>15</v>
      </c>
      <c r="B22" s="252">
        <f>'Для корректировки'!P22</f>
        <v>1401.3</v>
      </c>
      <c r="C22" s="253">
        <f>'[2]Корректировка'!$C21</f>
        <v>658.6</v>
      </c>
      <c r="D22" s="252">
        <f t="shared" si="0"/>
        <v>2059.9</v>
      </c>
      <c r="E22" s="252">
        <f>'Полное финобеспечение-факт'!D21</f>
        <v>51.6</v>
      </c>
      <c r="F22" s="252">
        <f>'Общехоз.'!W23</f>
        <v>872.5</v>
      </c>
      <c r="G22" s="252">
        <f t="shared" si="1"/>
        <v>2984</v>
      </c>
      <c r="H22" s="252">
        <f>D22-'[3]Корректировка'!$C21</f>
        <v>84.20000000000005</v>
      </c>
      <c r="I22" s="252">
        <f t="shared" si="2"/>
        <v>64.7</v>
      </c>
      <c r="J22" s="252">
        <f t="shared" si="3"/>
        <v>19.500000000000043</v>
      </c>
      <c r="K22" s="254"/>
      <c r="L22" s="255"/>
      <c r="M22" s="255"/>
      <c r="N22" s="255"/>
      <c r="O22" s="255"/>
      <c r="P22" s="256"/>
      <c r="Q22" s="255"/>
      <c r="R22" s="255"/>
      <c r="S22" s="249"/>
      <c r="T22" s="249"/>
    </row>
    <row r="23" spans="1:20" s="259" customFormat="1" ht="16.5" customHeight="1">
      <c r="A23" s="11" t="s">
        <v>16</v>
      </c>
      <c r="B23" s="252">
        <f>'Для корректировки'!P23</f>
        <v>1504.1</v>
      </c>
      <c r="C23" s="253">
        <f>'[2]Корректировка'!$C22</f>
        <v>707.6</v>
      </c>
      <c r="D23" s="252">
        <f t="shared" si="0"/>
        <v>2211.7</v>
      </c>
      <c r="E23" s="252">
        <f>'Полное финобеспечение-факт'!D22</f>
        <v>48</v>
      </c>
      <c r="F23" s="252">
        <f>'Общехоз.'!W24</f>
        <v>966.2</v>
      </c>
      <c r="G23" s="252">
        <f t="shared" si="1"/>
        <v>3225.8999999999996</v>
      </c>
      <c r="H23" s="252">
        <f>D23-'[3]Корректировка'!$C22</f>
        <v>88.89999999999964</v>
      </c>
      <c r="I23" s="252">
        <f t="shared" si="2"/>
        <v>68.3</v>
      </c>
      <c r="J23" s="252">
        <f t="shared" si="3"/>
        <v>20.59999999999964</v>
      </c>
      <c r="K23" s="254"/>
      <c r="L23" s="255"/>
      <c r="M23" s="255"/>
      <c r="N23" s="255"/>
      <c r="O23" s="258"/>
      <c r="P23" s="147"/>
      <c r="Q23" s="255"/>
      <c r="R23" s="255"/>
      <c r="S23" s="250"/>
      <c r="T23" s="250"/>
    </row>
    <row r="24" spans="1:20" ht="19.5" customHeight="1">
      <c r="A24" s="10" t="s">
        <v>27</v>
      </c>
      <c r="B24" s="252">
        <f>'Для корректировки'!P24</f>
        <v>744.4</v>
      </c>
      <c r="C24" s="253">
        <f>'[2]Корректировка'!$C23</f>
        <v>350.4</v>
      </c>
      <c r="D24" s="252">
        <f t="shared" si="0"/>
        <v>1094.8</v>
      </c>
      <c r="E24" s="252">
        <f>'Полное финобеспечение-факт'!D23</f>
        <v>18.8</v>
      </c>
      <c r="F24" s="252">
        <f>'Общехоз.'!W25</f>
        <v>710.6999999999999</v>
      </c>
      <c r="G24" s="252">
        <f t="shared" si="1"/>
        <v>1824.2999999999997</v>
      </c>
      <c r="H24" s="252">
        <f>D24-'[3]Корректировка'!$C23</f>
        <v>43.5</v>
      </c>
      <c r="I24" s="252">
        <f t="shared" si="2"/>
        <v>33.4</v>
      </c>
      <c r="J24" s="252">
        <f t="shared" si="3"/>
        <v>10.100000000000001</v>
      </c>
      <c r="K24" s="254"/>
      <c r="L24" s="255"/>
      <c r="M24" s="255"/>
      <c r="N24" s="255"/>
      <c r="O24" s="255"/>
      <c r="P24" s="256"/>
      <c r="Q24" s="255"/>
      <c r="R24" s="255"/>
      <c r="S24" s="257"/>
      <c r="T24" s="249"/>
    </row>
    <row r="25" spans="1:20" ht="19.5" customHeight="1">
      <c r="A25" s="10" t="s">
        <v>28</v>
      </c>
      <c r="B25" s="252">
        <f>'Для корректировки'!P25</f>
        <v>730.5</v>
      </c>
      <c r="C25" s="253">
        <f>'[2]Корректировка'!$C24</f>
        <v>343.9</v>
      </c>
      <c r="D25" s="252">
        <f t="shared" si="0"/>
        <v>1074.4</v>
      </c>
      <c r="E25" s="252">
        <f>'Полное финобеспечение-факт'!D24</f>
        <v>24</v>
      </c>
      <c r="F25" s="252">
        <f>'Общехоз.'!W26</f>
        <v>756.5999999999999</v>
      </c>
      <c r="G25" s="252">
        <f t="shared" si="1"/>
        <v>1855</v>
      </c>
      <c r="H25" s="252">
        <f>D25-'[3]Корректировка'!$C24</f>
        <v>42.600000000000136</v>
      </c>
      <c r="I25" s="252">
        <f t="shared" si="2"/>
        <v>32.7</v>
      </c>
      <c r="J25" s="252">
        <f t="shared" si="3"/>
        <v>9.900000000000134</v>
      </c>
      <c r="K25" s="254"/>
      <c r="L25" s="255"/>
      <c r="M25" s="255"/>
      <c r="N25" s="255"/>
      <c r="O25" s="255"/>
      <c r="P25" s="256"/>
      <c r="Q25" s="255"/>
      <c r="R25" s="255"/>
      <c r="S25" s="249"/>
      <c r="T25" s="249"/>
    </row>
    <row r="26" spans="1:20" ht="19.5" customHeight="1">
      <c r="A26" s="10" t="s">
        <v>29</v>
      </c>
      <c r="B26" s="252">
        <f>'Для корректировки'!P26</f>
        <v>747.8</v>
      </c>
      <c r="C26" s="253">
        <f>'[2]Корректировка'!$C25</f>
        <v>352</v>
      </c>
      <c r="D26" s="252">
        <f t="shared" si="0"/>
        <v>1099.8</v>
      </c>
      <c r="E26" s="252">
        <f>'Полное финобеспечение-факт'!D25</f>
        <v>31.4</v>
      </c>
      <c r="F26" s="252">
        <f>'Общехоз.'!W27</f>
        <v>740.9999999999999</v>
      </c>
      <c r="G26" s="252">
        <f t="shared" si="1"/>
        <v>1872.1999999999998</v>
      </c>
      <c r="H26" s="252">
        <f>D26-'[3]Корректировка'!$C25</f>
        <v>43.700000000000045</v>
      </c>
      <c r="I26" s="252">
        <f t="shared" si="2"/>
        <v>33.6</v>
      </c>
      <c r="J26" s="252">
        <f t="shared" si="3"/>
        <v>10.100000000000044</v>
      </c>
      <c r="K26" s="254"/>
      <c r="L26" s="255"/>
      <c r="M26" s="255"/>
      <c r="N26" s="255"/>
      <c r="O26" s="255"/>
      <c r="P26" s="256"/>
      <c r="Q26" s="255"/>
      <c r="R26" s="255"/>
      <c r="S26" s="257"/>
      <c r="T26" s="249"/>
    </row>
    <row r="27" spans="1:20" ht="27.75" customHeight="1">
      <c r="A27" s="10" t="s">
        <v>30</v>
      </c>
      <c r="B27" s="252">
        <f>'Для корректировки'!P27</f>
        <v>816.3</v>
      </c>
      <c r="C27" s="253">
        <f>'[2]Корректировка'!$C26</f>
        <v>383.9</v>
      </c>
      <c r="D27" s="252">
        <f t="shared" si="0"/>
        <v>1200.1999999999998</v>
      </c>
      <c r="E27" s="252">
        <f>'Полное финобеспечение-факт'!D26</f>
        <v>32.4</v>
      </c>
      <c r="F27" s="252">
        <f>'Общехоз.'!W28</f>
        <v>724.9</v>
      </c>
      <c r="G27" s="252">
        <f t="shared" si="1"/>
        <v>1957.5</v>
      </c>
      <c r="H27" s="252">
        <f>D27-'[3]Корректировка'!$C26</f>
        <v>48.399999999999864</v>
      </c>
      <c r="I27" s="252">
        <f t="shared" si="2"/>
        <v>37.2</v>
      </c>
      <c r="J27" s="252">
        <f t="shared" si="3"/>
        <v>11.19999999999986</v>
      </c>
      <c r="K27" s="254"/>
      <c r="L27" s="255"/>
      <c r="M27" s="255"/>
      <c r="N27" s="255"/>
      <c r="O27" s="255"/>
      <c r="P27" s="256"/>
      <c r="Q27" s="255"/>
      <c r="R27" s="255"/>
      <c r="S27" s="257"/>
      <c r="T27" s="249"/>
    </row>
    <row r="28" spans="1:20" ht="22.5" customHeight="1">
      <c r="A28" s="10" t="s">
        <v>17</v>
      </c>
      <c r="B28" s="252">
        <f>'Для корректировки'!P28</f>
        <v>2742.6</v>
      </c>
      <c r="C28" s="253">
        <f>'[2]Корректировка'!$C27</f>
        <v>1289</v>
      </c>
      <c r="D28" s="252">
        <f t="shared" si="0"/>
        <v>4031.6</v>
      </c>
      <c r="E28" s="252">
        <f>'Полное финобеспечение-факт'!D27</f>
        <v>71.8</v>
      </c>
      <c r="F28" s="252">
        <f>'Общехоз.'!W29</f>
        <v>1203.1</v>
      </c>
      <c r="G28" s="252">
        <f t="shared" si="1"/>
        <v>5306.5</v>
      </c>
      <c r="H28" s="252">
        <f>D28-'[3]Корректировка'!$C27</f>
        <v>164.5999999999999</v>
      </c>
      <c r="I28" s="252">
        <f t="shared" si="2"/>
        <v>126.4</v>
      </c>
      <c r="J28" s="252">
        <f t="shared" si="3"/>
        <v>38.1999999999999</v>
      </c>
      <c r="K28" s="254"/>
      <c r="L28" s="255"/>
      <c r="M28" s="255"/>
      <c r="N28" s="255"/>
      <c r="O28" s="255"/>
      <c r="P28" s="256"/>
      <c r="Q28" s="255"/>
      <c r="R28" s="255"/>
      <c r="S28" s="249"/>
      <c r="T28" s="249"/>
    </row>
    <row r="29" spans="1:20" ht="18.75" customHeight="1">
      <c r="A29" s="10" t="s">
        <v>18</v>
      </c>
      <c r="B29" s="252">
        <f>'Для корректировки'!P29</f>
        <v>3470.8</v>
      </c>
      <c r="C29" s="253">
        <f>'[2]Корректировка'!$C28</f>
        <v>1648.5</v>
      </c>
      <c r="D29" s="252">
        <f t="shared" si="0"/>
        <v>5119.3</v>
      </c>
      <c r="E29" s="252">
        <f>'Полное финобеспечение-факт'!D28</f>
        <v>88.6</v>
      </c>
      <c r="F29" s="252">
        <f>'Общехоз.'!W30</f>
        <v>1184.6000000000001</v>
      </c>
      <c r="G29" s="252">
        <f t="shared" si="1"/>
        <v>6392.500000000001</v>
      </c>
      <c r="H29" s="252">
        <f>D29-'[3]Корректировка'!$C28</f>
        <v>173.69999999999982</v>
      </c>
      <c r="I29" s="252">
        <f t="shared" si="2"/>
        <v>133.4</v>
      </c>
      <c r="J29" s="252">
        <f t="shared" si="3"/>
        <v>40.29999999999981</v>
      </c>
      <c r="K29" s="254"/>
      <c r="L29" s="255"/>
      <c r="M29" s="255"/>
      <c r="N29" s="255"/>
      <c r="O29" s="255"/>
      <c r="P29" s="256"/>
      <c r="Q29" s="255"/>
      <c r="R29" s="255"/>
      <c r="S29" s="249"/>
      <c r="T29" s="249"/>
    </row>
    <row r="30" spans="1:20" s="259" customFormat="1" ht="25.5" customHeight="1">
      <c r="A30" s="11" t="s">
        <v>19</v>
      </c>
      <c r="B30" s="252">
        <f>'Для корректировки'!P30</f>
        <v>4483.799999999999</v>
      </c>
      <c r="C30" s="253">
        <f>'[2]Корректировка'!$C29</f>
        <v>2140.8</v>
      </c>
      <c r="D30" s="252">
        <f t="shared" si="0"/>
        <v>6624.599999999999</v>
      </c>
      <c r="E30" s="252">
        <f>'Полное финобеспечение-факт'!D29</f>
        <v>94.5</v>
      </c>
      <c r="F30" s="252">
        <f>'Общехоз.'!W31</f>
        <v>1273.5</v>
      </c>
      <c r="G30" s="252">
        <f t="shared" si="1"/>
        <v>7992.599999999999</v>
      </c>
      <c r="H30" s="252">
        <f>D30-'[3]Корректировка'!$C29</f>
        <v>202.19999999999982</v>
      </c>
      <c r="I30" s="252">
        <f t="shared" si="2"/>
        <v>155.3</v>
      </c>
      <c r="J30" s="252">
        <f t="shared" si="3"/>
        <v>46.89999999999981</v>
      </c>
      <c r="K30" s="254"/>
      <c r="L30" s="255"/>
      <c r="M30" s="255"/>
      <c r="N30" s="255"/>
      <c r="O30" s="258"/>
      <c r="P30" s="147"/>
      <c r="Q30" s="255"/>
      <c r="R30" s="255"/>
      <c r="S30" s="250"/>
      <c r="T30" s="250"/>
    </row>
    <row r="31" spans="1:20" ht="15.75">
      <c r="A31" s="10" t="s">
        <v>20</v>
      </c>
      <c r="B31" s="252">
        <f>'Для корректировки'!P31</f>
        <v>3144.8999999999996</v>
      </c>
      <c r="C31" s="253">
        <f>'[2]Корректировка'!$C30</f>
        <v>1477</v>
      </c>
      <c r="D31" s="252">
        <f t="shared" si="0"/>
        <v>4621.9</v>
      </c>
      <c r="E31" s="252">
        <f>'Полное финобеспечение-факт'!D30</f>
        <v>92.39999999999999</v>
      </c>
      <c r="F31" s="252">
        <f>'Общехоз.'!W32</f>
        <v>1265.1</v>
      </c>
      <c r="G31" s="252">
        <f t="shared" si="1"/>
        <v>5979.4</v>
      </c>
      <c r="H31" s="252">
        <f>D31-'[3]Корректировка'!$C30</f>
        <v>190.69999999999982</v>
      </c>
      <c r="I31" s="252">
        <f t="shared" si="2"/>
        <v>146.5</v>
      </c>
      <c r="J31" s="252">
        <f t="shared" si="3"/>
        <v>44.19999999999982</v>
      </c>
      <c r="K31" s="254"/>
      <c r="L31" s="255"/>
      <c r="M31" s="255"/>
      <c r="N31" s="255"/>
      <c r="O31" s="255"/>
      <c r="P31" s="249"/>
      <c r="Q31" s="255"/>
      <c r="R31" s="255"/>
      <c r="S31" s="249"/>
      <c r="T31" s="249"/>
    </row>
    <row r="32" spans="1:20" ht="15.75">
      <c r="A32" s="10" t="s">
        <v>21</v>
      </c>
      <c r="B32" s="252">
        <f>'Для корректировки'!P32</f>
        <v>3662.8999999999996</v>
      </c>
      <c r="C32" s="253">
        <f>'[2]Корректировка'!$C31</f>
        <v>1722.3000000000002</v>
      </c>
      <c r="D32" s="252">
        <f t="shared" si="0"/>
        <v>5385.2</v>
      </c>
      <c r="E32" s="252">
        <f>'Полное финобеспечение-факт'!D31</f>
        <v>66.3</v>
      </c>
      <c r="F32" s="252">
        <f>'Общехоз.'!W33</f>
        <v>1552.2</v>
      </c>
      <c r="G32" s="252">
        <f t="shared" si="1"/>
        <v>7003.7</v>
      </c>
      <c r="H32" s="252">
        <f>D32-'[3]Корректировка'!$C31</f>
        <v>218.10000000000036</v>
      </c>
      <c r="I32" s="252">
        <f t="shared" si="2"/>
        <v>167.5</v>
      </c>
      <c r="J32" s="252">
        <f t="shared" si="3"/>
        <v>50.600000000000364</v>
      </c>
      <c r="K32" s="254"/>
      <c r="L32" s="255"/>
      <c r="M32" s="255"/>
      <c r="N32" s="255"/>
      <c r="O32" s="255"/>
      <c r="P32" s="249"/>
      <c r="Q32" s="255"/>
      <c r="R32" s="255"/>
      <c r="S32" s="249"/>
      <c r="T32" s="249"/>
    </row>
    <row r="33" spans="1:20" ht="20.25" customHeight="1">
      <c r="A33" s="10" t="s">
        <v>31</v>
      </c>
      <c r="B33" s="252">
        <f>'Для корректировки'!P33</f>
        <v>755.8</v>
      </c>
      <c r="C33" s="253">
        <f>'[2]Корректировка'!$C32</f>
        <v>355.5</v>
      </c>
      <c r="D33" s="252">
        <f t="shared" si="0"/>
        <v>1111.3</v>
      </c>
      <c r="E33" s="252">
        <f>'Полное финобеспечение-факт'!D32</f>
        <v>25.5</v>
      </c>
      <c r="F33" s="252">
        <f>'Общехоз.'!W34</f>
        <v>734</v>
      </c>
      <c r="G33" s="252">
        <f t="shared" si="1"/>
        <v>1870.8</v>
      </c>
      <c r="H33" s="252">
        <f>D33-'[3]Корректировка'!$C32</f>
        <v>44.799999999999955</v>
      </c>
      <c r="I33" s="252">
        <f t="shared" si="2"/>
        <v>34.4</v>
      </c>
      <c r="J33" s="252">
        <f t="shared" si="3"/>
        <v>10.399999999999956</v>
      </c>
      <c r="K33" s="254"/>
      <c r="L33" s="255"/>
      <c r="M33" s="255"/>
      <c r="N33" s="255"/>
      <c r="O33" s="255"/>
      <c r="P33" s="256"/>
      <c r="Q33" s="255"/>
      <c r="R33" s="255"/>
      <c r="S33" s="257"/>
      <c r="T33" s="249"/>
    </row>
    <row r="34" spans="1:20" ht="15.75">
      <c r="A34" s="10" t="s">
        <v>32</v>
      </c>
      <c r="B34" s="252">
        <f>'Для корректировки'!P34</f>
        <v>799.2</v>
      </c>
      <c r="C34" s="253">
        <f>'[2]Корректировка'!$C33</f>
        <v>375.8</v>
      </c>
      <c r="D34" s="252">
        <f t="shared" si="0"/>
        <v>1175</v>
      </c>
      <c r="E34" s="252">
        <f>'Полное финобеспечение-факт'!D33</f>
        <v>30</v>
      </c>
      <c r="F34" s="252">
        <f>'Общехоз.'!W35</f>
        <v>549.4</v>
      </c>
      <c r="G34" s="252">
        <f t="shared" si="1"/>
        <v>1754.4</v>
      </c>
      <c r="H34" s="252">
        <f>D34-'[3]Корректировка'!$C33</f>
        <v>47.59999999999991</v>
      </c>
      <c r="I34" s="252">
        <f t="shared" si="2"/>
        <v>36.6</v>
      </c>
      <c r="J34" s="252">
        <f t="shared" si="3"/>
        <v>10.999999999999908</v>
      </c>
      <c r="K34" s="254"/>
      <c r="L34" s="255"/>
      <c r="M34" s="255"/>
      <c r="N34" s="255"/>
      <c r="O34" s="255"/>
      <c r="P34" s="256"/>
      <c r="Q34" s="255"/>
      <c r="R34" s="255"/>
      <c r="S34" s="249"/>
      <c r="T34" s="249"/>
    </row>
    <row r="35" spans="1:20" ht="21" customHeight="1">
      <c r="A35" s="10" t="s">
        <v>22</v>
      </c>
      <c r="B35" s="252">
        <f>'Для корректировки'!P35</f>
        <v>1400.5</v>
      </c>
      <c r="C35" s="253">
        <f>'[2]Корректировка'!$C34</f>
        <v>661.2</v>
      </c>
      <c r="D35" s="252">
        <f t="shared" si="0"/>
        <v>2061.7</v>
      </c>
      <c r="E35" s="252">
        <f>'Полное финобеспечение-факт'!D34</f>
        <v>45.4</v>
      </c>
      <c r="F35" s="252">
        <f>'Общехоз.'!W36</f>
        <v>637</v>
      </c>
      <c r="G35" s="252">
        <f t="shared" si="1"/>
        <v>2744.1</v>
      </c>
      <c r="H35" s="252">
        <f>D35-'[3]Корректировка'!$C34</f>
        <v>77.99999999999977</v>
      </c>
      <c r="I35" s="252">
        <f t="shared" si="2"/>
        <v>59.9</v>
      </c>
      <c r="J35" s="252">
        <f t="shared" si="3"/>
        <v>18.099999999999774</v>
      </c>
      <c r="K35" s="254"/>
      <c r="L35" s="255"/>
      <c r="M35" s="255"/>
      <c r="N35" s="255"/>
      <c r="O35" s="255"/>
      <c r="P35" s="256"/>
      <c r="Q35" s="255"/>
      <c r="R35" s="255"/>
      <c r="S35" s="249"/>
      <c r="T35" s="249"/>
    </row>
    <row r="36" spans="1:20" ht="21" customHeight="1">
      <c r="A36" s="10" t="s">
        <v>33</v>
      </c>
      <c r="B36" s="252">
        <f>'Для корректировки'!P36</f>
        <v>729.6</v>
      </c>
      <c r="C36" s="253">
        <f>'[2]Корректировка'!$C35</f>
        <v>343.5</v>
      </c>
      <c r="D36" s="252">
        <f t="shared" si="0"/>
        <v>1073.1</v>
      </c>
      <c r="E36" s="252">
        <f>'Полное финобеспечение-факт'!D35</f>
        <v>23.2</v>
      </c>
      <c r="F36" s="252">
        <f>'Общехоз.'!W37</f>
        <v>786.0999999999999</v>
      </c>
      <c r="G36" s="252">
        <f t="shared" si="1"/>
        <v>1882.3999999999999</v>
      </c>
      <c r="H36" s="252">
        <f>D36-'[3]Корректировка'!$C35</f>
        <v>42.5</v>
      </c>
      <c r="I36" s="252">
        <f t="shared" si="2"/>
        <v>32.6</v>
      </c>
      <c r="J36" s="252">
        <f t="shared" si="3"/>
        <v>9.899999999999999</v>
      </c>
      <c r="K36" s="254"/>
      <c r="L36" s="255"/>
      <c r="M36" s="255"/>
      <c r="N36" s="255"/>
      <c r="O36" s="255"/>
      <c r="P36" s="256"/>
      <c r="Q36" s="255"/>
      <c r="R36" s="255"/>
      <c r="S36" s="249"/>
      <c r="T36" s="249"/>
    </row>
    <row r="37" spans="1:20" ht="15.75">
      <c r="A37" s="10" t="s">
        <v>34</v>
      </c>
      <c r="B37" s="252">
        <f>'Для корректировки'!P37</f>
        <v>1307.7</v>
      </c>
      <c r="C37" s="253">
        <f>'[2]Корректировка'!$C36</f>
        <v>614.8</v>
      </c>
      <c r="D37" s="252">
        <f t="shared" si="0"/>
        <v>1922.5</v>
      </c>
      <c r="E37" s="252">
        <f>'Полное финобеспечение-факт'!D36</f>
        <v>34.4</v>
      </c>
      <c r="F37" s="252">
        <f>'Общехоз.'!W38</f>
        <v>790.9000000000001</v>
      </c>
      <c r="G37" s="252">
        <f t="shared" si="1"/>
        <v>2747.8</v>
      </c>
      <c r="H37" s="252">
        <f>D37-'[3]Корректировка'!$C36</f>
        <v>78.09999999999991</v>
      </c>
      <c r="I37" s="252">
        <f t="shared" si="2"/>
        <v>60</v>
      </c>
      <c r="J37" s="252">
        <f t="shared" si="3"/>
        <v>18.09999999999991</v>
      </c>
      <c r="K37" s="254"/>
      <c r="L37" s="255"/>
      <c r="M37" s="255"/>
      <c r="N37" s="255"/>
      <c r="O37" s="255"/>
      <c r="P37" s="256"/>
      <c r="Q37" s="255"/>
      <c r="R37" s="255"/>
      <c r="S37" s="249"/>
      <c r="T37" s="249"/>
    </row>
    <row r="38" spans="1:20" ht="15.75">
      <c r="A38" s="10" t="s">
        <v>35</v>
      </c>
      <c r="B38" s="252">
        <f>'Для корректировки'!P38</f>
        <v>862.2</v>
      </c>
      <c r="C38" s="253">
        <f>'[2]Корректировка'!$C37</f>
        <v>405.3</v>
      </c>
      <c r="D38" s="252">
        <f t="shared" si="0"/>
        <v>1267.5</v>
      </c>
      <c r="E38" s="252">
        <f>'Полное финобеспечение-факт'!D37</f>
        <v>33.5</v>
      </c>
      <c r="F38" s="252">
        <f>'Общехоз.'!W39</f>
        <v>158</v>
      </c>
      <c r="G38" s="252">
        <f t="shared" si="1"/>
        <v>1459</v>
      </c>
      <c r="H38" s="252">
        <f>D38-'[3]Корректировка'!$C37</f>
        <v>51.59999999999991</v>
      </c>
      <c r="I38" s="252">
        <f t="shared" si="2"/>
        <v>39.6</v>
      </c>
      <c r="J38" s="252">
        <f t="shared" si="3"/>
        <v>11.999999999999908</v>
      </c>
      <c r="K38" s="254"/>
      <c r="L38" s="255"/>
      <c r="M38" s="255"/>
      <c r="N38" s="255"/>
      <c r="O38" s="255"/>
      <c r="P38" s="256"/>
      <c r="Q38" s="255"/>
      <c r="R38" s="255"/>
      <c r="S38" s="249"/>
      <c r="T38" s="249"/>
    </row>
    <row r="39" spans="1:20" ht="15.75">
      <c r="A39" s="10" t="s">
        <v>36</v>
      </c>
      <c r="B39" s="252">
        <f>'Для корректировки'!P39</f>
        <v>1569.9</v>
      </c>
      <c r="C39" s="253">
        <f>'[2]Корректировка'!$C38</f>
        <v>738.3</v>
      </c>
      <c r="D39" s="252">
        <f t="shared" si="0"/>
        <v>2308.2</v>
      </c>
      <c r="E39" s="252">
        <f>'Полное финобеспечение-факт'!D38</f>
        <v>42.9</v>
      </c>
      <c r="F39" s="252">
        <f>'Общехоз.'!W40</f>
        <v>1060.8</v>
      </c>
      <c r="G39" s="252">
        <f t="shared" si="1"/>
        <v>3411.8999999999996</v>
      </c>
      <c r="H39" s="252">
        <f>D39-'[3]Корректировка'!$C38</f>
        <v>93.39999999999964</v>
      </c>
      <c r="I39" s="252">
        <f t="shared" si="2"/>
        <v>71.7</v>
      </c>
      <c r="J39" s="252">
        <f t="shared" si="3"/>
        <v>21.699999999999633</v>
      </c>
      <c r="K39" s="254"/>
      <c r="L39" s="255"/>
      <c r="M39" s="255"/>
      <c r="N39" s="255"/>
      <c r="O39" s="255"/>
      <c r="P39" s="256"/>
      <c r="Q39" s="255"/>
      <c r="R39" s="255"/>
      <c r="S39" s="257"/>
      <c r="T39" s="249"/>
    </row>
    <row r="40" spans="1:20" s="259" customFormat="1" ht="16.5" customHeight="1">
      <c r="A40" s="11" t="s">
        <v>37</v>
      </c>
      <c r="B40" s="252">
        <f>'Для корректировки'!P40</f>
        <v>735.8</v>
      </c>
      <c r="C40" s="253">
        <f>'[2]Корректировка'!$C39</f>
        <v>346.4</v>
      </c>
      <c r="D40" s="252">
        <f t="shared" si="0"/>
        <v>1082.1999999999998</v>
      </c>
      <c r="E40" s="252">
        <f>'Полное финобеспечение-факт'!D39</f>
        <v>22.6</v>
      </c>
      <c r="F40" s="252">
        <f>'Общехоз.'!W41</f>
        <v>456.59999999999997</v>
      </c>
      <c r="G40" s="252">
        <f t="shared" si="1"/>
        <v>1561.3999999999996</v>
      </c>
      <c r="H40" s="252">
        <f>D40-'[3]Корректировка'!$C39</f>
        <v>42.99999999999977</v>
      </c>
      <c r="I40" s="252">
        <f t="shared" si="2"/>
        <v>33</v>
      </c>
      <c r="J40" s="252">
        <f t="shared" si="3"/>
        <v>9.999999999999773</v>
      </c>
      <c r="K40" s="254"/>
      <c r="L40" s="255"/>
      <c r="M40" s="255"/>
      <c r="N40" s="255"/>
      <c r="O40" s="258"/>
      <c r="P40" s="147"/>
      <c r="Q40" s="255"/>
      <c r="R40" s="255"/>
      <c r="S40" s="250"/>
      <c r="T40" s="250"/>
    </row>
    <row r="41" spans="1:20" s="259" customFormat="1" ht="15" customHeight="1">
      <c r="A41" s="11" t="s">
        <v>38</v>
      </c>
      <c r="B41" s="252">
        <f>'Для корректировки'!P41</f>
        <v>1455.9</v>
      </c>
      <c r="C41" s="253">
        <f>'[2]Корректировка'!$C40</f>
        <v>685</v>
      </c>
      <c r="D41" s="252">
        <f t="shared" si="0"/>
        <v>2140.9</v>
      </c>
      <c r="E41" s="252">
        <f>'Полное финобеспечение-факт'!D40</f>
        <v>42</v>
      </c>
      <c r="F41" s="252">
        <f>'Общехоз.'!W42</f>
        <v>790.6</v>
      </c>
      <c r="G41" s="252">
        <f t="shared" si="1"/>
        <v>2973.5</v>
      </c>
      <c r="H41" s="252">
        <f>D41-'[3]Корректировка'!$C40</f>
        <v>86</v>
      </c>
      <c r="I41" s="252">
        <f t="shared" si="2"/>
        <v>66.1</v>
      </c>
      <c r="J41" s="252">
        <f t="shared" si="3"/>
        <v>19.900000000000006</v>
      </c>
      <c r="K41" s="254"/>
      <c r="L41" s="255"/>
      <c r="M41" s="255"/>
      <c r="N41" s="255"/>
      <c r="O41" s="258"/>
      <c r="P41" s="147"/>
      <c r="Q41" s="255"/>
      <c r="R41" s="255"/>
      <c r="S41" s="250"/>
      <c r="T41" s="250"/>
    </row>
    <row r="42" spans="1:20" ht="18.75" customHeight="1">
      <c r="A42" s="10" t="s">
        <v>39</v>
      </c>
      <c r="B42" s="252">
        <f>'Для корректировки'!P42</f>
        <v>2075.5</v>
      </c>
      <c r="C42" s="253">
        <f>'[2]Корректировка'!$C41</f>
        <v>975.5</v>
      </c>
      <c r="D42" s="252">
        <f t="shared" si="0"/>
        <v>3051</v>
      </c>
      <c r="E42" s="252">
        <f>'Полное финобеспечение-факт'!D41</f>
        <v>57.6</v>
      </c>
      <c r="F42" s="252">
        <f>'Общехоз.'!W43</f>
        <v>1143.2</v>
      </c>
      <c r="G42" s="252">
        <f t="shared" si="1"/>
        <v>4251.8</v>
      </c>
      <c r="H42" s="252">
        <f>D42-'[3]Корректировка'!$C41</f>
        <v>124.59999999999991</v>
      </c>
      <c r="I42" s="252">
        <f t="shared" si="2"/>
        <v>95.7</v>
      </c>
      <c r="J42" s="252">
        <f t="shared" si="3"/>
        <v>28.899999999999906</v>
      </c>
      <c r="K42" s="254"/>
      <c r="L42" s="255"/>
      <c r="M42" s="255"/>
      <c r="N42" s="255"/>
      <c r="O42" s="255"/>
      <c r="P42" s="256"/>
      <c r="Q42" s="255"/>
      <c r="R42" s="255"/>
      <c r="S42" s="249"/>
      <c r="T42" s="249"/>
    </row>
    <row r="43" spans="1:20" ht="15.75">
      <c r="A43" s="10" t="s">
        <v>40</v>
      </c>
      <c r="B43" s="252">
        <f>'Для корректировки'!P43</f>
        <v>732.2</v>
      </c>
      <c r="C43" s="253">
        <f>'[2]Корректировка'!$C42</f>
        <v>344.7</v>
      </c>
      <c r="D43" s="252">
        <f t="shared" si="0"/>
        <v>1076.9</v>
      </c>
      <c r="E43" s="252">
        <f>'Полное финобеспечение-факт'!D42</f>
        <v>36.7</v>
      </c>
      <c r="F43" s="252">
        <f>'Общехоз.'!W44</f>
        <v>720.6999999999999</v>
      </c>
      <c r="G43" s="252">
        <f t="shared" si="1"/>
        <v>1834.3000000000002</v>
      </c>
      <c r="H43" s="252">
        <f>D43-'[3]Корректировка'!$C42</f>
        <v>42.700000000000045</v>
      </c>
      <c r="I43" s="252">
        <f t="shared" si="2"/>
        <v>32.8</v>
      </c>
      <c r="J43" s="252">
        <f t="shared" si="3"/>
        <v>9.900000000000048</v>
      </c>
      <c r="K43" s="254"/>
      <c r="L43" s="255"/>
      <c r="M43" s="255"/>
      <c r="N43" s="255"/>
      <c r="O43" s="255"/>
      <c r="P43" s="256"/>
      <c r="Q43" s="255"/>
      <c r="R43" s="255"/>
      <c r="S43" s="249"/>
      <c r="T43" s="249"/>
    </row>
    <row r="44" spans="1:20" ht="14.25" customHeight="1">
      <c r="A44" s="10" t="s">
        <v>23</v>
      </c>
      <c r="B44" s="252">
        <f>'Для корректировки'!P44</f>
        <v>1346.2</v>
      </c>
      <c r="C44" s="253">
        <f>'[2]Корректировка'!$C43</f>
        <v>632.8</v>
      </c>
      <c r="D44" s="252">
        <f t="shared" si="0"/>
        <v>1979</v>
      </c>
      <c r="E44" s="252">
        <f>'Полное финобеспечение-факт'!D43</f>
        <v>55.5</v>
      </c>
      <c r="F44" s="252">
        <f>'Общехоз.'!W45</f>
        <v>780.6</v>
      </c>
      <c r="G44" s="252">
        <f t="shared" si="1"/>
        <v>2815.1</v>
      </c>
      <c r="H44" s="252">
        <f>D44-'[3]Корректировка'!$C43</f>
        <v>80.59999999999991</v>
      </c>
      <c r="I44" s="252">
        <f t="shared" si="2"/>
        <v>61.9</v>
      </c>
      <c r="J44" s="252">
        <f t="shared" si="3"/>
        <v>18.69999999999991</v>
      </c>
      <c r="K44" s="254"/>
      <c r="L44" s="255"/>
      <c r="M44" s="255"/>
      <c r="N44" s="255"/>
      <c r="O44" s="255"/>
      <c r="P44" s="256"/>
      <c r="Q44" s="255"/>
      <c r="R44" s="255"/>
      <c r="S44" s="249"/>
      <c r="T44" s="249"/>
    </row>
    <row r="45" spans="1:20" ht="15.75">
      <c r="A45" s="10" t="s">
        <v>41</v>
      </c>
      <c r="B45" s="252">
        <f>'Для корректировки'!P45</f>
        <v>864.1</v>
      </c>
      <c r="C45" s="253">
        <f>'[2]Корректировка'!$C44</f>
        <v>406.1</v>
      </c>
      <c r="D45" s="252">
        <f t="shared" si="0"/>
        <v>1270.2</v>
      </c>
      <c r="E45" s="252">
        <f>'Полное финобеспечение-факт'!D44</f>
        <v>27.1</v>
      </c>
      <c r="F45" s="252">
        <f>'Общехоз.'!W46</f>
        <v>797.4</v>
      </c>
      <c r="G45" s="252">
        <f t="shared" si="1"/>
        <v>2094.7</v>
      </c>
      <c r="H45" s="252">
        <f>D45-'[3]Корректировка'!$C44</f>
        <v>51.799999999999955</v>
      </c>
      <c r="I45" s="252">
        <f t="shared" si="2"/>
        <v>39.8</v>
      </c>
      <c r="J45" s="252">
        <f t="shared" si="3"/>
        <v>11.999999999999957</v>
      </c>
      <c r="K45" s="254"/>
      <c r="L45" s="255"/>
      <c r="M45" s="255"/>
      <c r="N45" s="255"/>
      <c r="O45" s="255"/>
      <c r="P45" s="256"/>
      <c r="Q45" s="255"/>
      <c r="R45" s="255"/>
      <c r="S45" s="249"/>
      <c r="T45" s="249"/>
    </row>
    <row r="46" spans="1:20" ht="15.75">
      <c r="A46" s="10" t="s">
        <v>42</v>
      </c>
      <c r="B46" s="252">
        <f>'Для корректировки'!P46</f>
        <v>710.6</v>
      </c>
      <c r="C46" s="253">
        <f>'[2]Корректировка'!$C45</f>
        <v>334.6</v>
      </c>
      <c r="D46" s="252">
        <f t="shared" si="0"/>
        <v>1045.2</v>
      </c>
      <c r="E46" s="252">
        <f>'Полное финобеспечение-факт'!D45</f>
        <v>18.7</v>
      </c>
      <c r="F46" s="252">
        <f>'Общехоз.'!W47</f>
        <v>684</v>
      </c>
      <c r="G46" s="252">
        <f t="shared" si="1"/>
        <v>1747.9</v>
      </c>
      <c r="H46" s="252">
        <f>D46-'[3]Корректировка'!$C45</f>
        <v>41.30000000000007</v>
      </c>
      <c r="I46" s="252">
        <f t="shared" si="2"/>
        <v>31.7</v>
      </c>
      <c r="J46" s="252">
        <f t="shared" si="3"/>
        <v>9.600000000000069</v>
      </c>
      <c r="K46" s="254"/>
      <c r="L46" s="255"/>
      <c r="M46" s="255"/>
      <c r="N46" s="255"/>
      <c r="O46" s="255"/>
      <c r="P46" s="256"/>
      <c r="Q46" s="255"/>
      <c r="R46" s="255"/>
      <c r="S46" s="249"/>
      <c r="T46" s="249"/>
    </row>
    <row r="47" spans="1:20" ht="22.5" customHeight="1">
      <c r="A47" s="10" t="s">
        <v>43</v>
      </c>
      <c r="B47" s="252">
        <f>'Для корректировки'!P47</f>
        <v>830.7</v>
      </c>
      <c r="C47" s="253">
        <f>'[2]Корректировка'!$C46</f>
        <v>390.5</v>
      </c>
      <c r="D47" s="252">
        <f t="shared" si="0"/>
        <v>1221.2</v>
      </c>
      <c r="E47" s="252">
        <f>'Полное финобеспечение-факт'!D46</f>
        <v>52.6</v>
      </c>
      <c r="F47" s="252">
        <f>'Общехоз.'!W48</f>
        <v>655.4999999999999</v>
      </c>
      <c r="G47" s="252">
        <f t="shared" si="1"/>
        <v>1929.2999999999997</v>
      </c>
      <c r="H47" s="252">
        <f>D47-'[3]Корректировка'!$C46</f>
        <v>49.700000000000045</v>
      </c>
      <c r="I47" s="252">
        <f t="shared" si="2"/>
        <v>38.2</v>
      </c>
      <c r="J47" s="252">
        <f t="shared" si="3"/>
        <v>11.500000000000043</v>
      </c>
      <c r="K47" s="254"/>
      <c r="L47" s="255"/>
      <c r="M47" s="255"/>
      <c r="N47" s="255"/>
      <c r="O47" s="255"/>
      <c r="P47" s="256"/>
      <c r="Q47" s="255"/>
      <c r="R47" s="255"/>
      <c r="S47" s="257"/>
      <c r="T47" s="249"/>
    </row>
    <row r="48" spans="1:20" ht="15.75">
      <c r="A48" s="10" t="s">
        <v>24</v>
      </c>
      <c r="B48" s="252">
        <f>'Для корректировки'!P48</f>
        <v>580.7</v>
      </c>
      <c r="C48" s="253">
        <f>'[2]Корректировка'!$C47</f>
        <v>0</v>
      </c>
      <c r="D48" s="252">
        <f t="shared" si="0"/>
        <v>580.7</v>
      </c>
      <c r="E48" s="252">
        <f>'Полное финобеспечение-факт'!D47</f>
        <v>9.1</v>
      </c>
      <c r="F48" s="252">
        <f>'Общехоз.'!W49</f>
        <v>22.8</v>
      </c>
      <c r="G48" s="252">
        <f t="shared" si="1"/>
        <v>612.6</v>
      </c>
      <c r="H48" s="252">
        <f>D48-'[3]Корректировка'!$C47</f>
        <v>-160.5</v>
      </c>
      <c r="I48" s="252">
        <f t="shared" si="2"/>
        <v>-123.3</v>
      </c>
      <c r="J48" s="252">
        <f t="shared" si="3"/>
        <v>-37.2</v>
      </c>
      <c r="K48" s="254"/>
      <c r="L48" s="255"/>
      <c r="M48" s="255"/>
      <c r="N48" s="255"/>
      <c r="O48" s="255"/>
      <c r="P48" s="256"/>
      <c r="Q48" s="255"/>
      <c r="R48" s="255"/>
      <c r="S48" s="249"/>
      <c r="T48" s="249"/>
    </row>
    <row r="49" spans="1:20" ht="18" customHeight="1">
      <c r="A49" s="10" t="s">
        <v>44</v>
      </c>
      <c r="B49" s="252">
        <f>'Для корректировки'!P49</f>
        <v>863.8</v>
      </c>
      <c r="C49" s="253">
        <f>'[2]Корректировка'!$C48</f>
        <v>406</v>
      </c>
      <c r="D49" s="252">
        <f t="shared" si="0"/>
        <v>1269.8</v>
      </c>
      <c r="E49" s="252">
        <f>'Полное финобеспечение-факт'!D48</f>
        <v>30</v>
      </c>
      <c r="F49" s="252">
        <f>'Общехоз.'!W50</f>
        <v>523.9</v>
      </c>
      <c r="G49" s="252">
        <f t="shared" si="1"/>
        <v>1823.6999999999998</v>
      </c>
      <c r="H49" s="252">
        <f>D49-'[3]Корректировка'!$C48</f>
        <v>51.799999999999955</v>
      </c>
      <c r="I49" s="252">
        <f t="shared" si="2"/>
        <v>39.8</v>
      </c>
      <c r="J49" s="252">
        <f t="shared" si="3"/>
        <v>11.999999999999957</v>
      </c>
      <c r="K49" s="254"/>
      <c r="L49" s="255"/>
      <c r="M49" s="255"/>
      <c r="N49" s="255"/>
      <c r="O49" s="255"/>
      <c r="P49" s="256"/>
      <c r="Q49" s="255"/>
      <c r="R49" s="255"/>
      <c r="S49" s="249"/>
      <c r="T49" s="249"/>
    </row>
    <row r="50" spans="1:20" ht="34.5" customHeight="1">
      <c r="A50" s="11" t="s">
        <v>45</v>
      </c>
      <c r="B50" s="252">
        <f>'Для корректировки'!P50</f>
        <v>697.6</v>
      </c>
      <c r="C50" s="253">
        <f>'[2]Корректировка'!$C49</f>
        <v>329</v>
      </c>
      <c r="D50" s="252">
        <f t="shared" si="0"/>
        <v>1026.6</v>
      </c>
      <c r="E50" s="252">
        <f>'Полное финобеспечение-факт'!D49</f>
        <v>19.5</v>
      </c>
      <c r="F50" s="252">
        <f>'Общехоз.'!W51</f>
        <v>325.59999999999997</v>
      </c>
      <c r="G50" s="252">
        <f t="shared" si="1"/>
        <v>1371.6999999999998</v>
      </c>
      <c r="H50" s="252">
        <f>D50-'[3]Корректировка'!$C49</f>
        <v>39.69999999999993</v>
      </c>
      <c r="I50" s="252">
        <f t="shared" si="2"/>
        <v>30.5</v>
      </c>
      <c r="J50" s="252">
        <f t="shared" si="3"/>
        <v>9.199999999999932</v>
      </c>
      <c r="K50" s="254"/>
      <c r="L50" s="255"/>
      <c r="M50" s="255"/>
      <c r="N50" s="255"/>
      <c r="O50" s="255"/>
      <c r="P50" s="249"/>
      <c r="Q50" s="255"/>
      <c r="R50" s="255"/>
      <c r="S50" s="249"/>
      <c r="T50" s="249"/>
    </row>
    <row r="51" spans="1:20" s="259" customFormat="1" ht="31.5">
      <c r="A51" s="11" t="s">
        <v>46</v>
      </c>
      <c r="B51" s="252">
        <f>'Для корректировки'!P51</f>
        <v>789.7</v>
      </c>
      <c r="C51" s="253">
        <f>'[2]Корректировка'!$C50</f>
        <v>371.3</v>
      </c>
      <c r="D51" s="252">
        <f t="shared" si="0"/>
        <v>1161</v>
      </c>
      <c r="E51" s="252">
        <f>'Полное финобеспечение-факт'!D50</f>
        <v>24</v>
      </c>
      <c r="F51" s="252">
        <f>'Общехоз.'!W52</f>
        <v>472.40000000000003</v>
      </c>
      <c r="G51" s="252">
        <f t="shared" si="1"/>
        <v>1657.4</v>
      </c>
      <c r="H51" s="252">
        <f>D51-'[3]Корректировка'!$C50</f>
        <v>47</v>
      </c>
      <c r="I51" s="252">
        <f t="shared" si="2"/>
        <v>36.1</v>
      </c>
      <c r="J51" s="252">
        <f t="shared" si="3"/>
        <v>10.899999999999999</v>
      </c>
      <c r="K51" s="254"/>
      <c r="L51" s="255"/>
      <c r="M51" s="255"/>
      <c r="N51" s="255"/>
      <c r="O51" s="258"/>
      <c r="P51" s="250"/>
      <c r="Q51" s="255"/>
      <c r="R51" s="255"/>
      <c r="S51" s="250"/>
      <c r="T51" s="250"/>
    </row>
    <row r="52" spans="1:20" ht="48" thickBot="1">
      <c r="A52" s="177" t="s">
        <v>55</v>
      </c>
      <c r="B52" s="252">
        <f aca="true" t="shared" si="4" ref="B52:J52">SUM(B7:B51)</f>
        <v>125115.9</v>
      </c>
      <c r="C52" s="252">
        <f t="shared" si="4"/>
        <v>59052.80000000001</v>
      </c>
      <c r="D52" s="252">
        <f t="shared" si="4"/>
        <v>184168.70000000004</v>
      </c>
      <c r="E52" s="252">
        <f t="shared" si="4"/>
        <v>3492.1</v>
      </c>
      <c r="F52" s="252">
        <f t="shared" si="4"/>
        <v>48873.2</v>
      </c>
      <c r="G52" s="252">
        <f t="shared" si="4"/>
        <v>236533.99999999994</v>
      </c>
      <c r="H52" s="252">
        <f t="shared" si="4"/>
        <v>6268.099999999992</v>
      </c>
      <c r="I52" s="252">
        <f t="shared" si="4"/>
        <v>4814</v>
      </c>
      <c r="J52" s="252">
        <f t="shared" si="4"/>
        <v>1454.09999999999</v>
      </c>
      <c r="K52" s="254"/>
      <c r="L52" s="254"/>
      <c r="M52" s="254"/>
      <c r="N52" s="254"/>
      <c r="O52" s="255"/>
      <c r="P52" s="255"/>
      <c r="Q52" s="255"/>
      <c r="R52" s="255"/>
      <c r="S52" s="249"/>
      <c r="T52" s="249"/>
    </row>
    <row r="53" spans="1:20" ht="18" customHeight="1">
      <c r="A53" s="260"/>
      <c r="M53" s="249"/>
      <c r="N53" s="249"/>
      <c r="O53" s="249"/>
      <c r="P53" s="249"/>
      <c r="Q53" s="249"/>
      <c r="R53" s="249"/>
      <c r="S53" s="249"/>
      <c r="T53" s="249"/>
    </row>
    <row r="54" spans="1:20" ht="15.75">
      <c r="A54" s="250"/>
      <c r="J54" s="255"/>
      <c r="M54" s="249"/>
      <c r="N54" s="249"/>
      <c r="O54" s="249"/>
      <c r="P54" s="249"/>
      <c r="Q54" s="249"/>
      <c r="R54" s="249"/>
      <c r="S54" s="249"/>
      <c r="T54" s="249"/>
    </row>
    <row r="55" spans="1:20" ht="15.75">
      <c r="A55" s="250"/>
      <c r="D55" s="261"/>
      <c r="E55" s="261"/>
      <c r="F55" s="261"/>
      <c r="G55" s="261"/>
      <c r="H55" s="261"/>
      <c r="I55" s="255"/>
      <c r="M55" s="249"/>
      <c r="N55" s="249"/>
      <c r="O55" s="249"/>
      <c r="P55" s="249"/>
      <c r="Q55" s="249"/>
      <c r="R55" s="249"/>
      <c r="S55" s="249"/>
      <c r="T55" s="249"/>
    </row>
    <row r="56" spans="1:20" ht="15.75">
      <c r="A56" s="250"/>
      <c r="D56" s="261"/>
      <c r="E56" s="261"/>
      <c r="F56" s="261"/>
      <c r="G56" s="261"/>
      <c r="M56" s="249"/>
      <c r="N56" s="249"/>
      <c r="O56" s="249"/>
      <c r="P56" s="249"/>
      <c r="Q56" s="249"/>
      <c r="R56" s="249"/>
      <c r="S56" s="249"/>
      <c r="T56" s="249"/>
    </row>
    <row r="57" spans="1:20" ht="15.75">
      <c r="A57" s="250"/>
      <c r="M57" s="249"/>
      <c r="N57" s="249"/>
      <c r="O57" s="249"/>
      <c r="P57" s="249"/>
      <c r="Q57" s="249"/>
      <c r="R57" s="249"/>
      <c r="S57" s="249"/>
      <c r="T57" s="249"/>
    </row>
    <row r="58" spans="1:20" ht="15.75">
      <c r="A58" s="262"/>
      <c r="M58" s="249"/>
      <c r="N58" s="249"/>
      <c r="O58" s="249"/>
      <c r="P58" s="249"/>
      <c r="Q58" s="249"/>
      <c r="R58" s="249"/>
      <c r="S58" s="249"/>
      <c r="T58" s="249"/>
    </row>
    <row r="59" spans="1:20" ht="15.75">
      <c r="A59" s="262"/>
      <c r="M59" s="249"/>
      <c r="N59" s="249"/>
      <c r="O59" s="249"/>
      <c r="P59" s="249"/>
      <c r="Q59" s="249"/>
      <c r="R59" s="249"/>
      <c r="S59" s="249"/>
      <c r="T59" s="249"/>
    </row>
    <row r="60" spans="1:20" ht="16.5" customHeight="1">
      <c r="A60" s="250"/>
      <c r="M60" s="249"/>
      <c r="N60" s="249"/>
      <c r="O60" s="249"/>
      <c r="P60" s="249"/>
      <c r="Q60" s="249"/>
      <c r="R60" s="249"/>
      <c r="S60" s="249"/>
      <c r="T60" s="249"/>
    </row>
    <row r="61" spans="1:20" ht="15.75">
      <c r="A61" s="250"/>
      <c r="M61" s="249"/>
      <c r="N61" s="249"/>
      <c r="O61" s="249"/>
      <c r="P61" s="249"/>
      <c r="Q61" s="249"/>
      <c r="R61" s="249"/>
      <c r="S61" s="249"/>
      <c r="T61" s="249"/>
    </row>
    <row r="62" spans="1:20" ht="15.75">
      <c r="A62" s="250"/>
      <c r="M62" s="249"/>
      <c r="N62" s="249"/>
      <c r="O62" s="249"/>
      <c r="P62" s="249"/>
      <c r="Q62" s="249"/>
      <c r="R62" s="249"/>
      <c r="S62" s="249"/>
      <c r="T62" s="249"/>
    </row>
    <row r="63" spans="1:20" ht="15.75">
      <c r="A63" s="250"/>
      <c r="M63" s="249"/>
      <c r="N63" s="249"/>
      <c r="O63" s="249"/>
      <c r="P63" s="249"/>
      <c r="Q63" s="249"/>
      <c r="R63" s="249"/>
      <c r="S63" s="249"/>
      <c r="T63" s="249"/>
    </row>
    <row r="64" spans="1:20" ht="15.75">
      <c r="A64" s="250"/>
      <c r="M64" s="249"/>
      <c r="N64" s="249"/>
      <c r="O64" s="249"/>
      <c r="P64" s="249"/>
      <c r="Q64" s="249"/>
      <c r="R64" s="249"/>
      <c r="S64" s="249"/>
      <c r="T64" s="249"/>
    </row>
    <row r="65" spans="1:20" ht="15.75">
      <c r="A65" s="250"/>
      <c r="M65" s="249"/>
      <c r="N65" s="249"/>
      <c r="O65" s="249"/>
      <c r="P65" s="249"/>
      <c r="Q65" s="249"/>
      <c r="R65" s="249"/>
      <c r="S65" s="249"/>
      <c r="T65" s="249"/>
    </row>
    <row r="66" spans="1:20" ht="15.75">
      <c r="A66" s="263"/>
      <c r="M66" s="249"/>
      <c r="N66" s="249"/>
      <c r="O66" s="249"/>
      <c r="P66" s="249"/>
      <c r="Q66" s="249"/>
      <c r="R66" s="249"/>
      <c r="S66" s="249"/>
      <c r="T66" s="249"/>
    </row>
    <row r="67" spans="1:20" s="265" customFormat="1" ht="16.5" customHeight="1">
      <c r="A67" s="264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</row>
    <row r="68" spans="1:20" ht="15.75">
      <c r="A68" s="262"/>
      <c r="M68" s="249"/>
      <c r="N68" s="249"/>
      <c r="O68" s="249"/>
      <c r="P68" s="249"/>
      <c r="Q68" s="249"/>
      <c r="R68" s="249"/>
      <c r="S68" s="249"/>
      <c r="T68" s="249"/>
    </row>
    <row r="69" spans="1:20" ht="15.75">
      <c r="A69" s="262"/>
      <c r="M69" s="249"/>
      <c r="N69" s="249"/>
      <c r="O69" s="249"/>
      <c r="P69" s="249"/>
      <c r="Q69" s="249"/>
      <c r="R69" s="249"/>
      <c r="S69" s="249"/>
      <c r="T69" s="249"/>
    </row>
    <row r="70" spans="1:20" ht="15.75">
      <c r="A70" s="262"/>
      <c r="M70" s="249"/>
      <c r="N70" s="249"/>
      <c r="O70" s="249"/>
      <c r="P70" s="249"/>
      <c r="Q70" s="249"/>
      <c r="R70" s="249"/>
      <c r="S70" s="249"/>
      <c r="T70" s="249"/>
    </row>
    <row r="71" spans="1:20" ht="15.75">
      <c r="A71" s="262"/>
      <c r="M71" s="249"/>
      <c r="N71" s="249"/>
      <c r="O71" s="249"/>
      <c r="P71" s="249"/>
      <c r="Q71" s="249"/>
      <c r="R71" s="249"/>
      <c r="S71" s="249"/>
      <c r="T71" s="249"/>
    </row>
    <row r="72" spans="1:20" ht="18" customHeight="1">
      <c r="A72" s="262"/>
      <c r="M72" s="249"/>
      <c r="N72" s="249"/>
      <c r="O72" s="249"/>
      <c r="P72" s="249"/>
      <c r="Q72" s="249"/>
      <c r="R72" s="249"/>
      <c r="S72" s="249"/>
      <c r="T72" s="249"/>
    </row>
    <row r="73" ht="15.75">
      <c r="A73" s="262"/>
    </row>
    <row r="74" ht="15.75">
      <c r="A74" s="262"/>
    </row>
    <row r="75" ht="15.75">
      <c r="A75" s="262"/>
    </row>
    <row r="76" ht="15.75">
      <c r="A76" s="262"/>
    </row>
    <row r="77" ht="15.75">
      <c r="A77" s="262"/>
    </row>
    <row r="78" ht="15.75">
      <c r="A78" s="250"/>
    </row>
    <row r="79" ht="15.75">
      <c r="A79" s="250"/>
    </row>
    <row r="80" ht="15.75">
      <c r="A80" s="250"/>
    </row>
    <row r="81" ht="15.75">
      <c r="A81" s="250"/>
    </row>
    <row r="82" ht="15.75">
      <c r="A82" s="250"/>
    </row>
    <row r="83" ht="15.75">
      <c r="A83" s="250"/>
    </row>
    <row r="84" ht="15.75">
      <c r="A84" s="250"/>
    </row>
    <row r="85" ht="15.75">
      <c r="A85" s="250"/>
    </row>
    <row r="86" ht="15.75">
      <c r="A86" s="250"/>
    </row>
    <row r="87" ht="15.75">
      <c r="A87" s="250"/>
    </row>
    <row r="88" ht="15.75">
      <c r="A88" s="250"/>
    </row>
    <row r="89" ht="15.75">
      <c r="A89" s="250"/>
    </row>
    <row r="90" ht="15.75">
      <c r="A90" s="250"/>
    </row>
    <row r="91" ht="15.75">
      <c r="A91" s="250"/>
    </row>
    <row r="92" ht="15.75">
      <c r="A92" s="250"/>
    </row>
    <row r="93" ht="15.75">
      <c r="A93" s="250"/>
    </row>
    <row r="94" ht="15.75">
      <c r="A94" s="250"/>
    </row>
    <row r="95" ht="15.75">
      <c r="A95" s="250"/>
    </row>
    <row r="96" ht="15.75">
      <c r="A96" s="250"/>
    </row>
    <row r="97" ht="15.75">
      <c r="A97" s="250"/>
    </row>
    <row r="98" ht="15.75">
      <c r="A98" s="250"/>
    </row>
    <row r="99" ht="15.75">
      <c r="A99" s="250"/>
    </row>
    <row r="100" ht="15.75">
      <c r="A100" s="250"/>
    </row>
    <row r="101" ht="15.75">
      <c r="A101" s="250"/>
    </row>
    <row r="102" ht="15.75">
      <c r="A102" s="250"/>
    </row>
    <row r="103" ht="15.75">
      <c r="A103" s="250"/>
    </row>
    <row r="104" ht="15.75">
      <c r="A104" s="250"/>
    </row>
    <row r="105" ht="15.75">
      <c r="A105" s="250"/>
    </row>
    <row r="106" ht="15.75">
      <c r="A106" s="250"/>
    </row>
    <row r="107" ht="15.75">
      <c r="A107" s="250"/>
    </row>
    <row r="108" ht="15.75">
      <c r="A108" s="250"/>
    </row>
    <row r="109" ht="15.75">
      <c r="A109" s="250"/>
    </row>
    <row r="110" ht="15.75">
      <c r="A110" s="250"/>
    </row>
    <row r="111" ht="15.75">
      <c r="A111" s="250"/>
    </row>
    <row r="112" ht="15.75">
      <c r="A112" s="267"/>
    </row>
    <row r="113" ht="15.75">
      <c r="A113" s="267"/>
    </row>
    <row r="114" ht="15.75">
      <c r="A114" s="249"/>
    </row>
  </sheetData>
  <sheetProtection/>
  <mergeCells count="18">
    <mergeCell ref="A2:G2"/>
    <mergeCell ref="B4:B6"/>
    <mergeCell ref="C4:C6"/>
    <mergeCell ref="D4:D6"/>
    <mergeCell ref="A4:A6"/>
    <mergeCell ref="I4:J4"/>
    <mergeCell ref="E4:E6"/>
    <mergeCell ref="F4:F6"/>
    <mergeCell ref="G4:G6"/>
    <mergeCell ref="P4:P6"/>
    <mergeCell ref="Q4:Q6"/>
    <mergeCell ref="R4:R6"/>
    <mergeCell ref="S4:S6"/>
    <mergeCell ref="H4:H6"/>
    <mergeCell ref="L4:L6"/>
    <mergeCell ref="M4:M6"/>
    <mergeCell ref="N4:N6"/>
    <mergeCell ref="O4:O6"/>
  </mergeCells>
  <printOptions horizontalCentered="1"/>
  <pageMargins left="0.1968503937007874" right="0" top="0.5905511811023623" bottom="0" header="0" footer="0"/>
  <pageSetup horizontalDpi="600" verticalDpi="600" orientation="portrait" paperSize="9" scale="55" r:id="rId1"/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8"/>
  <sheetViews>
    <sheetView view="pageBreakPreview" zoomScale="70" zoomScaleNormal="71" zoomScaleSheetLayoutView="70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51" sqref="AB51"/>
    </sheetView>
  </sheetViews>
  <sheetFormatPr defaultColWidth="9.140625" defaultRowHeight="12.75"/>
  <cols>
    <col min="1" max="1" width="9.00390625" style="196" customWidth="1"/>
    <col min="2" max="3" width="30.8515625" style="196" customWidth="1"/>
    <col min="4" max="4" width="24.00390625" style="196" customWidth="1"/>
    <col min="5" max="5" width="19.421875" style="196" customWidth="1"/>
    <col min="6" max="6" width="17.28125" style="196" customWidth="1"/>
    <col min="7" max="7" width="18.28125" style="196" customWidth="1"/>
    <col min="8" max="8" width="26.421875" style="196" customWidth="1"/>
    <col min="9" max="11" width="20.00390625" style="196" customWidth="1"/>
    <col min="12" max="13" width="24.421875" style="197" customWidth="1"/>
    <col min="14" max="14" width="18.28125" style="197" customWidth="1"/>
    <col min="15" max="15" width="17.140625" style="197" customWidth="1"/>
    <col min="16" max="16" width="22.8515625" style="197" customWidth="1"/>
    <col min="17" max="19" width="20.421875" style="152" customWidth="1"/>
    <col min="20" max="20" width="19.421875" style="152" customWidth="1"/>
    <col min="21" max="21" width="14.57421875" style="152" hidden="1" customWidth="1"/>
    <col min="22" max="22" width="14.8515625" style="152" hidden="1" customWidth="1"/>
    <col min="23" max="23" width="20.140625" style="152" hidden="1" customWidth="1"/>
    <col min="24" max="24" width="21.421875" style="152" hidden="1" customWidth="1"/>
    <col min="25" max="25" width="10.8515625" style="152" hidden="1" customWidth="1"/>
    <col min="26" max="16384" width="9.140625" style="152" customWidth="1"/>
  </cols>
  <sheetData>
    <row r="1" spans="1:16" ht="15.75">
      <c r="A1" s="199"/>
      <c r="B1" s="199"/>
      <c r="C1" s="199"/>
      <c r="D1" s="199"/>
      <c r="E1" s="199"/>
      <c r="F1" s="365" t="s">
        <v>108</v>
      </c>
      <c r="G1" s="365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8.75">
      <c r="A2" s="153"/>
      <c r="B2" s="153"/>
      <c r="C2" s="153"/>
      <c r="D2" s="153"/>
      <c r="E2" s="153"/>
      <c r="F2" s="153"/>
      <c r="G2" s="153"/>
      <c r="H2" s="153"/>
      <c r="I2" s="154"/>
      <c r="J2" s="154"/>
      <c r="K2" s="154"/>
      <c r="L2" s="155"/>
      <c r="M2" s="155"/>
      <c r="N2" s="155"/>
      <c r="O2" s="155"/>
      <c r="P2" s="155"/>
    </row>
    <row r="3" spans="1:27" ht="27.75" customHeight="1">
      <c r="A3" s="366" t="s">
        <v>88</v>
      </c>
      <c r="B3" s="369" t="s">
        <v>54</v>
      </c>
      <c r="C3" s="322" t="s">
        <v>89</v>
      </c>
      <c r="D3" s="323"/>
      <c r="E3" s="323"/>
      <c r="F3" s="323"/>
      <c r="G3" s="323"/>
      <c r="H3" s="357"/>
      <c r="I3" s="311" t="s">
        <v>89</v>
      </c>
      <c r="J3" s="311"/>
      <c r="K3" s="311"/>
      <c r="L3" s="311"/>
      <c r="M3" s="311"/>
      <c r="N3" s="311"/>
      <c r="O3" s="311"/>
      <c r="P3" s="322" t="s">
        <v>89</v>
      </c>
      <c r="Q3" s="323"/>
      <c r="R3" s="323"/>
      <c r="S3" s="323"/>
      <c r="T3" s="323"/>
      <c r="U3" s="372" t="s">
        <v>90</v>
      </c>
      <c r="V3" s="372" t="s">
        <v>91</v>
      </c>
      <c r="W3" s="345" t="s">
        <v>92</v>
      </c>
      <c r="X3" s="345" t="s">
        <v>93</v>
      </c>
      <c r="Y3" s="156"/>
      <c r="Z3" s="156"/>
      <c r="AA3" s="156"/>
    </row>
    <row r="4" spans="1:27" ht="27.75" customHeight="1">
      <c r="A4" s="367"/>
      <c r="B4" s="370"/>
      <c r="C4" s="311" t="s">
        <v>113</v>
      </c>
      <c r="D4" s="311"/>
      <c r="E4" s="311"/>
      <c r="F4" s="311"/>
      <c r="G4" s="311"/>
      <c r="H4" s="311"/>
      <c r="I4" s="322" t="s">
        <v>94</v>
      </c>
      <c r="J4" s="323"/>
      <c r="K4" s="323"/>
      <c r="L4" s="323"/>
      <c r="M4" s="323"/>
      <c r="N4" s="323"/>
      <c r="O4" s="323"/>
      <c r="P4" s="322" t="s">
        <v>94</v>
      </c>
      <c r="Q4" s="323"/>
      <c r="R4" s="323"/>
      <c r="S4" s="323"/>
      <c r="T4" s="323"/>
      <c r="U4" s="373"/>
      <c r="V4" s="373"/>
      <c r="W4" s="346"/>
      <c r="X4" s="346"/>
      <c r="Y4" s="156"/>
      <c r="Z4" s="156"/>
      <c r="AA4" s="156"/>
    </row>
    <row r="5" spans="1:27" ht="27.75" customHeight="1">
      <c r="A5" s="367"/>
      <c r="B5" s="370"/>
      <c r="C5" s="311" t="s">
        <v>95</v>
      </c>
      <c r="D5" s="375" t="s">
        <v>96</v>
      </c>
      <c r="E5" s="376"/>
      <c r="F5" s="377"/>
      <c r="G5" s="374" t="s">
        <v>97</v>
      </c>
      <c r="H5" s="362" t="s">
        <v>98</v>
      </c>
      <c r="I5" s="311" t="s">
        <v>109</v>
      </c>
      <c r="J5" s="311" t="s">
        <v>110</v>
      </c>
      <c r="K5" s="311" t="s">
        <v>111</v>
      </c>
      <c r="L5" s="322" t="s">
        <v>96</v>
      </c>
      <c r="M5" s="323"/>
      <c r="N5" s="357"/>
      <c r="O5" s="311" t="s">
        <v>97</v>
      </c>
      <c r="P5" s="362" t="s">
        <v>98</v>
      </c>
      <c r="Q5" s="311" t="s">
        <v>109</v>
      </c>
      <c r="R5" s="311" t="s">
        <v>110</v>
      </c>
      <c r="S5" s="311" t="s">
        <v>111</v>
      </c>
      <c r="T5" s="311" t="s">
        <v>112</v>
      </c>
      <c r="U5" s="373"/>
      <c r="V5" s="373"/>
      <c r="W5" s="346"/>
      <c r="X5" s="346"/>
      <c r="Y5" s="156"/>
      <c r="Z5" s="156"/>
      <c r="AA5" s="156"/>
    </row>
    <row r="6" spans="1:24" ht="177" customHeight="1">
      <c r="A6" s="368"/>
      <c r="B6" s="371"/>
      <c r="C6" s="311"/>
      <c r="D6" s="148" t="s">
        <v>99</v>
      </c>
      <c r="E6" s="151" t="s">
        <v>100</v>
      </c>
      <c r="F6" s="151" t="s">
        <v>101</v>
      </c>
      <c r="G6" s="311"/>
      <c r="H6" s="315"/>
      <c r="I6" s="311"/>
      <c r="J6" s="311"/>
      <c r="K6" s="311"/>
      <c r="L6" s="148" t="s">
        <v>102</v>
      </c>
      <c r="M6" s="151" t="s">
        <v>103</v>
      </c>
      <c r="N6" s="151" t="s">
        <v>104</v>
      </c>
      <c r="O6" s="311"/>
      <c r="P6" s="315"/>
      <c r="Q6" s="311"/>
      <c r="R6" s="311"/>
      <c r="S6" s="311"/>
      <c r="T6" s="311"/>
      <c r="U6" s="374"/>
      <c r="V6" s="374"/>
      <c r="W6" s="347"/>
      <c r="X6" s="347"/>
    </row>
    <row r="7" spans="1:24" s="158" customFormat="1" ht="17.25" customHeight="1">
      <c r="A7" s="157">
        <v>1</v>
      </c>
      <c r="B7" s="157">
        <v>2</v>
      </c>
      <c r="C7" s="157">
        <v>3</v>
      </c>
      <c r="D7" s="157">
        <v>4</v>
      </c>
      <c r="E7" s="157">
        <v>5</v>
      </c>
      <c r="F7" s="157">
        <v>6</v>
      </c>
      <c r="G7" s="157">
        <v>7</v>
      </c>
      <c r="H7" s="157">
        <v>8</v>
      </c>
      <c r="I7" s="157">
        <v>9</v>
      </c>
      <c r="J7" s="157">
        <v>10</v>
      </c>
      <c r="K7" s="157">
        <v>11</v>
      </c>
      <c r="L7" s="157">
        <v>12</v>
      </c>
      <c r="M7" s="157">
        <v>13</v>
      </c>
      <c r="N7" s="157">
        <v>14</v>
      </c>
      <c r="O7" s="157">
        <v>15</v>
      </c>
      <c r="P7" s="157">
        <v>16</v>
      </c>
      <c r="Q7" s="157">
        <v>17</v>
      </c>
      <c r="R7" s="157">
        <v>18</v>
      </c>
      <c r="S7" s="157">
        <v>19</v>
      </c>
      <c r="T7" s="157">
        <v>20</v>
      </c>
      <c r="U7" s="157">
        <v>21</v>
      </c>
      <c r="V7" s="157">
        <v>22</v>
      </c>
      <c r="W7" s="157">
        <v>23</v>
      </c>
      <c r="X7" s="157">
        <v>24</v>
      </c>
    </row>
    <row r="8" spans="1:25" s="165" customFormat="1" ht="15.75">
      <c r="A8" s="159">
        <v>1</v>
      </c>
      <c r="B8" s="160" t="s">
        <v>2</v>
      </c>
      <c r="C8" s="200">
        <v>10941</v>
      </c>
      <c r="D8" s="37"/>
      <c r="E8" s="37"/>
      <c r="F8" s="201"/>
      <c r="G8" s="202">
        <v>9081</v>
      </c>
      <c r="H8" s="203">
        <f>ROUND(C8/G8,3)</f>
        <v>1.205</v>
      </c>
      <c r="I8" s="204">
        <f>ROUND((D8)*G8*H8/1000,1)</f>
        <v>0</v>
      </c>
      <c r="J8" s="204">
        <f>ROUND((E8)*G8*H8/1000,1)</f>
        <v>0</v>
      </c>
      <c r="K8" s="204">
        <f>ROUND((F8)*G8*H8/1000,1)</f>
        <v>0</v>
      </c>
      <c r="L8" s="205">
        <v>102</v>
      </c>
      <c r="M8" s="205"/>
      <c r="N8" s="205">
        <v>1</v>
      </c>
      <c r="O8" s="202">
        <v>9081</v>
      </c>
      <c r="P8" s="203">
        <v>1.248</v>
      </c>
      <c r="Q8" s="161">
        <f>ROUND((L8)*O8/1000*P8,1)-0.3</f>
        <v>1155.7</v>
      </c>
      <c r="R8" s="161">
        <f>ROUND((M8)*O8*P8/1000,1)</f>
        <v>0</v>
      </c>
      <c r="S8" s="161">
        <f>ROUND((N8)*O8*P8/1000,1)</f>
        <v>11.3</v>
      </c>
      <c r="T8" s="161">
        <f>I8+J8+K8+Q8+R8+S8</f>
        <v>1167</v>
      </c>
      <c r="U8" s="163">
        <v>1126.8</v>
      </c>
      <c r="V8" s="163">
        <v>40.2</v>
      </c>
      <c r="W8" s="198">
        <f>U8+V8</f>
        <v>1167</v>
      </c>
      <c r="X8" s="163">
        <f>W8-U8</f>
        <v>40.200000000000045</v>
      </c>
      <c r="Y8" s="165">
        <f>T8-W8</f>
        <v>0</v>
      </c>
    </row>
    <row r="9" spans="1:25" s="165" customFormat="1" ht="15.75">
      <c r="A9" s="166">
        <v>2</v>
      </c>
      <c r="B9" s="160" t="s">
        <v>3</v>
      </c>
      <c r="C9" s="206">
        <v>10397</v>
      </c>
      <c r="D9" s="35">
        <v>25</v>
      </c>
      <c r="E9" s="35"/>
      <c r="F9" s="207"/>
      <c r="G9" s="202">
        <v>9081</v>
      </c>
      <c r="H9" s="203">
        <f aca="true" t="shared" si="0" ref="H9:H52">ROUND(C9/G9,3)</f>
        <v>1.145</v>
      </c>
      <c r="I9" s="204">
        <f aca="true" t="shared" si="1" ref="I9:I52">ROUND((D9)*G9*H9/1000,1)</f>
        <v>259.9</v>
      </c>
      <c r="J9" s="204">
        <f aca="true" t="shared" si="2" ref="J9:J52">ROUND((E9)*G9*H9/1000,1)</f>
        <v>0</v>
      </c>
      <c r="K9" s="204">
        <f aca="true" t="shared" si="3" ref="K9:K52">ROUND((F9)*G9*H9/1000,1)</f>
        <v>0</v>
      </c>
      <c r="L9" s="208">
        <v>102</v>
      </c>
      <c r="M9" s="208">
        <v>1</v>
      </c>
      <c r="N9" s="208">
        <v>1</v>
      </c>
      <c r="O9" s="202">
        <v>9081</v>
      </c>
      <c r="P9" s="203">
        <v>1.188</v>
      </c>
      <c r="Q9" s="161">
        <f>ROUND((L9)*O9/1000*P9,1)+0.2</f>
        <v>1100.6000000000001</v>
      </c>
      <c r="R9" s="161">
        <f aca="true" t="shared" si="4" ref="R9:R52">ROUND((M9)*O9*P9/1000,1)</f>
        <v>10.8</v>
      </c>
      <c r="S9" s="161">
        <f>ROUND((N9)*O9*P9/1000,1)-0.2</f>
        <v>10.600000000000001</v>
      </c>
      <c r="T9" s="161">
        <f aca="true" t="shared" si="5" ref="T9:T52">I9+J9+K9+Q9+R9+S9</f>
        <v>1381.8999999999999</v>
      </c>
      <c r="U9" s="163">
        <v>1341.2</v>
      </c>
      <c r="V9" s="163">
        <v>40.7</v>
      </c>
      <c r="W9" s="198">
        <f aca="true" t="shared" si="6" ref="W9:W52">U9+V9</f>
        <v>1381.9</v>
      </c>
      <c r="X9" s="163">
        <f aca="true" t="shared" si="7" ref="X9:X52">W9-U9</f>
        <v>40.700000000000045</v>
      </c>
      <c r="Y9" s="165">
        <f aca="true" t="shared" si="8" ref="Y9:Y52">T9-W9</f>
        <v>0</v>
      </c>
    </row>
    <row r="10" spans="1:25" s="165" customFormat="1" ht="15.75">
      <c r="A10" s="159">
        <v>3</v>
      </c>
      <c r="B10" s="160" t="s">
        <v>4</v>
      </c>
      <c r="C10" s="206">
        <v>10713</v>
      </c>
      <c r="D10" s="35">
        <v>20</v>
      </c>
      <c r="E10" s="35"/>
      <c r="F10" s="207"/>
      <c r="G10" s="202">
        <v>9081</v>
      </c>
      <c r="H10" s="203">
        <f t="shared" si="0"/>
        <v>1.18</v>
      </c>
      <c r="I10" s="204">
        <f t="shared" si="1"/>
        <v>214.3</v>
      </c>
      <c r="J10" s="204">
        <f t="shared" si="2"/>
        <v>0</v>
      </c>
      <c r="K10" s="204">
        <f t="shared" si="3"/>
        <v>0</v>
      </c>
      <c r="L10" s="208">
        <v>121</v>
      </c>
      <c r="M10" s="208">
        <v>1</v>
      </c>
      <c r="N10" s="208"/>
      <c r="O10" s="202">
        <v>9081</v>
      </c>
      <c r="P10" s="203">
        <v>1.225</v>
      </c>
      <c r="Q10" s="161">
        <f>ROUND((L10)*O10/1000*P10,1)+0.7</f>
        <v>1346.7</v>
      </c>
      <c r="R10" s="161">
        <f t="shared" si="4"/>
        <v>11.1</v>
      </c>
      <c r="S10" s="161">
        <f aca="true" t="shared" si="9" ref="S10:S52">ROUND((N10)*O10*P10/1000,1)</f>
        <v>0</v>
      </c>
      <c r="T10" s="161">
        <f t="shared" si="5"/>
        <v>1572.1</v>
      </c>
      <c r="U10" s="163">
        <v>1521.1999999999998</v>
      </c>
      <c r="V10" s="163">
        <v>50.900000000000006</v>
      </c>
      <c r="W10" s="198">
        <f t="shared" si="6"/>
        <v>1572.1</v>
      </c>
      <c r="X10" s="163">
        <f t="shared" si="7"/>
        <v>50.90000000000009</v>
      </c>
      <c r="Y10" s="165">
        <f t="shared" si="8"/>
        <v>0</v>
      </c>
    </row>
    <row r="11" spans="1:25" s="165" customFormat="1" ht="15.75">
      <c r="A11" s="166">
        <v>4</v>
      </c>
      <c r="B11" s="160" t="s">
        <v>5</v>
      </c>
      <c r="C11" s="206">
        <v>9534</v>
      </c>
      <c r="D11" s="35">
        <v>45</v>
      </c>
      <c r="E11" s="209"/>
      <c r="F11" s="207"/>
      <c r="G11" s="202">
        <v>9081</v>
      </c>
      <c r="H11" s="203">
        <f t="shared" si="0"/>
        <v>1.05</v>
      </c>
      <c r="I11" s="204">
        <f t="shared" si="1"/>
        <v>429.1</v>
      </c>
      <c r="J11" s="204">
        <f t="shared" si="2"/>
        <v>0</v>
      </c>
      <c r="K11" s="204">
        <f t="shared" si="3"/>
        <v>0</v>
      </c>
      <c r="L11" s="208">
        <v>191</v>
      </c>
      <c r="M11" s="208">
        <v>4</v>
      </c>
      <c r="N11" s="208">
        <v>3</v>
      </c>
      <c r="O11" s="202">
        <v>9081</v>
      </c>
      <c r="P11" s="203">
        <v>1.091</v>
      </c>
      <c r="Q11" s="161">
        <f>ROUND((L11)*O11/1000*P11,1)+1</f>
        <v>1893.3</v>
      </c>
      <c r="R11" s="161">
        <f t="shared" si="4"/>
        <v>39.6</v>
      </c>
      <c r="S11" s="161">
        <f t="shared" si="9"/>
        <v>29.7</v>
      </c>
      <c r="T11" s="161">
        <f t="shared" si="5"/>
        <v>2391.7</v>
      </c>
      <c r="U11" s="163">
        <v>2316.6</v>
      </c>
      <c r="V11" s="163">
        <v>75.10000000000001</v>
      </c>
      <c r="W11" s="198">
        <f t="shared" si="6"/>
        <v>2391.7</v>
      </c>
      <c r="X11" s="163">
        <f t="shared" si="7"/>
        <v>75.09999999999991</v>
      </c>
      <c r="Y11" s="165">
        <f t="shared" si="8"/>
        <v>0</v>
      </c>
    </row>
    <row r="12" spans="1:25" s="165" customFormat="1" ht="15.75">
      <c r="A12" s="159">
        <v>5</v>
      </c>
      <c r="B12" s="160" t="s">
        <v>6</v>
      </c>
      <c r="C12" s="206">
        <v>8271</v>
      </c>
      <c r="D12" s="35">
        <v>74</v>
      </c>
      <c r="E12" s="35">
        <v>1</v>
      </c>
      <c r="F12" s="207"/>
      <c r="G12" s="202">
        <v>9081</v>
      </c>
      <c r="H12" s="203">
        <f t="shared" si="0"/>
        <v>0.911</v>
      </c>
      <c r="I12" s="204">
        <f t="shared" si="1"/>
        <v>612.2</v>
      </c>
      <c r="J12" s="204">
        <f t="shared" si="2"/>
        <v>8.3</v>
      </c>
      <c r="K12" s="204">
        <f t="shared" si="3"/>
        <v>0</v>
      </c>
      <c r="L12" s="208">
        <v>196</v>
      </c>
      <c r="M12" s="208"/>
      <c r="N12" s="208">
        <v>5</v>
      </c>
      <c r="O12" s="202">
        <v>9081</v>
      </c>
      <c r="P12" s="203">
        <v>0.958</v>
      </c>
      <c r="Q12" s="161">
        <f>ROUND((L12)*O12/1000*P12,1)-0.5</f>
        <v>1704.6</v>
      </c>
      <c r="R12" s="161">
        <f t="shared" si="4"/>
        <v>0</v>
      </c>
      <c r="S12" s="161">
        <f t="shared" si="9"/>
        <v>43.5</v>
      </c>
      <c r="T12" s="161">
        <f t="shared" si="5"/>
        <v>2368.6</v>
      </c>
      <c r="U12" s="163">
        <v>2282.8</v>
      </c>
      <c r="V12" s="163">
        <v>85.80000000000003</v>
      </c>
      <c r="W12" s="198">
        <f t="shared" si="6"/>
        <v>2368.6000000000004</v>
      </c>
      <c r="X12" s="163">
        <f t="shared" si="7"/>
        <v>85.80000000000018</v>
      </c>
      <c r="Y12" s="165">
        <f t="shared" si="8"/>
        <v>0</v>
      </c>
    </row>
    <row r="13" spans="1:25" s="165" customFormat="1" ht="15.75">
      <c r="A13" s="166">
        <v>6</v>
      </c>
      <c r="B13" s="160" t="s">
        <v>7</v>
      </c>
      <c r="C13" s="206">
        <v>9138</v>
      </c>
      <c r="D13" s="35"/>
      <c r="E13" s="35"/>
      <c r="F13" s="207"/>
      <c r="G13" s="202">
        <v>9081</v>
      </c>
      <c r="H13" s="203">
        <f t="shared" si="0"/>
        <v>1.006</v>
      </c>
      <c r="I13" s="204">
        <f t="shared" si="1"/>
        <v>0</v>
      </c>
      <c r="J13" s="204">
        <f t="shared" si="2"/>
        <v>0</v>
      </c>
      <c r="K13" s="204">
        <f t="shared" si="3"/>
        <v>0</v>
      </c>
      <c r="L13" s="208">
        <v>156</v>
      </c>
      <c r="M13" s="208">
        <v>3</v>
      </c>
      <c r="N13" s="208">
        <v>1</v>
      </c>
      <c r="O13" s="202">
        <v>9081</v>
      </c>
      <c r="P13" s="203">
        <v>1.04</v>
      </c>
      <c r="Q13" s="161">
        <f>ROUND((L13)*O13/1000*P13,1)+0.7</f>
        <v>1474</v>
      </c>
      <c r="R13" s="161">
        <f t="shared" si="4"/>
        <v>28.3</v>
      </c>
      <c r="S13" s="161">
        <f t="shared" si="9"/>
        <v>9.4</v>
      </c>
      <c r="T13" s="161">
        <f t="shared" si="5"/>
        <v>1511.7</v>
      </c>
      <c r="U13" s="163">
        <v>1462.1</v>
      </c>
      <c r="V13" s="164">
        <v>49.6</v>
      </c>
      <c r="W13" s="198">
        <f t="shared" si="6"/>
        <v>1511.6999999999998</v>
      </c>
      <c r="X13" s="163">
        <f t="shared" si="7"/>
        <v>49.59999999999991</v>
      </c>
      <c r="Y13" s="165">
        <f t="shared" si="8"/>
        <v>0</v>
      </c>
    </row>
    <row r="14" spans="1:25" s="165" customFormat="1" ht="15.75">
      <c r="A14" s="159">
        <v>7</v>
      </c>
      <c r="B14" s="160" t="s">
        <v>8</v>
      </c>
      <c r="C14" s="210">
        <v>8790</v>
      </c>
      <c r="D14" s="211">
        <v>25</v>
      </c>
      <c r="E14" s="211"/>
      <c r="F14" s="212"/>
      <c r="G14" s="202">
        <v>9081</v>
      </c>
      <c r="H14" s="203">
        <f t="shared" si="0"/>
        <v>0.968</v>
      </c>
      <c r="I14" s="204">
        <f t="shared" si="1"/>
        <v>219.8</v>
      </c>
      <c r="J14" s="204">
        <f t="shared" si="2"/>
        <v>0</v>
      </c>
      <c r="K14" s="204">
        <f t="shared" si="3"/>
        <v>0</v>
      </c>
      <c r="L14" s="208">
        <v>234</v>
      </c>
      <c r="M14" s="208">
        <v>1</v>
      </c>
      <c r="N14" s="208"/>
      <c r="O14" s="202">
        <v>9081</v>
      </c>
      <c r="P14" s="203">
        <v>1.007</v>
      </c>
      <c r="Q14" s="161">
        <f>ROUND((L14)*O14/1000*P14,1)-0.2</f>
        <v>2139.6000000000004</v>
      </c>
      <c r="R14" s="161">
        <f t="shared" si="4"/>
        <v>9.1</v>
      </c>
      <c r="S14" s="161">
        <f t="shared" si="9"/>
        <v>0</v>
      </c>
      <c r="T14" s="161">
        <f t="shared" si="5"/>
        <v>2368.5000000000005</v>
      </c>
      <c r="U14" s="163">
        <v>2285.4000000000005</v>
      </c>
      <c r="V14" s="164">
        <v>83.1</v>
      </c>
      <c r="W14" s="198">
        <f t="shared" si="6"/>
        <v>2368.5000000000005</v>
      </c>
      <c r="X14" s="163">
        <f t="shared" si="7"/>
        <v>83.09999999999991</v>
      </c>
      <c r="Y14" s="165">
        <f t="shared" si="8"/>
        <v>0</v>
      </c>
    </row>
    <row r="15" spans="1:25" s="165" customFormat="1" ht="15.75">
      <c r="A15" s="166">
        <v>8</v>
      </c>
      <c r="B15" s="160" t="s">
        <v>9</v>
      </c>
      <c r="C15" s="206">
        <v>7980</v>
      </c>
      <c r="D15" s="35">
        <v>44</v>
      </c>
      <c r="E15" s="35"/>
      <c r="F15" s="207"/>
      <c r="G15" s="202">
        <v>9081</v>
      </c>
      <c r="H15" s="203">
        <f t="shared" si="0"/>
        <v>0.879</v>
      </c>
      <c r="I15" s="204">
        <f t="shared" si="1"/>
        <v>351.2</v>
      </c>
      <c r="J15" s="204">
        <f t="shared" si="2"/>
        <v>0</v>
      </c>
      <c r="K15" s="204">
        <f t="shared" si="3"/>
        <v>0</v>
      </c>
      <c r="L15" s="208">
        <v>224</v>
      </c>
      <c r="M15" s="208"/>
      <c r="N15" s="208">
        <v>2</v>
      </c>
      <c r="O15" s="202">
        <v>9081</v>
      </c>
      <c r="P15" s="203">
        <v>0.918</v>
      </c>
      <c r="Q15" s="161">
        <f>ROUND((L15)*O15/1000*P15,1)-0.2</f>
        <v>1867.1</v>
      </c>
      <c r="R15" s="161">
        <f t="shared" si="4"/>
        <v>0</v>
      </c>
      <c r="S15" s="161">
        <f t="shared" si="9"/>
        <v>16.7</v>
      </c>
      <c r="T15" s="161">
        <f t="shared" si="5"/>
        <v>2234.9999999999995</v>
      </c>
      <c r="U15" s="163">
        <v>2154.6</v>
      </c>
      <c r="V15" s="164">
        <v>80.4</v>
      </c>
      <c r="W15" s="198">
        <f t="shared" si="6"/>
        <v>2235</v>
      </c>
      <c r="X15" s="163">
        <f t="shared" si="7"/>
        <v>80.40000000000009</v>
      </c>
      <c r="Y15" s="165">
        <f t="shared" si="8"/>
        <v>0</v>
      </c>
    </row>
    <row r="16" spans="1:25" s="165" customFormat="1" ht="15.75">
      <c r="A16" s="159">
        <v>9</v>
      </c>
      <c r="B16" s="160" t="s">
        <v>10</v>
      </c>
      <c r="C16" s="206">
        <v>12403</v>
      </c>
      <c r="D16" s="35">
        <v>40</v>
      </c>
      <c r="E16" s="35">
        <v>1</v>
      </c>
      <c r="F16" s="207"/>
      <c r="G16" s="202">
        <v>9081</v>
      </c>
      <c r="H16" s="203">
        <f t="shared" si="0"/>
        <v>1.366</v>
      </c>
      <c r="I16" s="204">
        <f t="shared" si="1"/>
        <v>496.2</v>
      </c>
      <c r="J16" s="204">
        <f t="shared" si="2"/>
        <v>12.4</v>
      </c>
      <c r="K16" s="204">
        <f t="shared" si="3"/>
        <v>0</v>
      </c>
      <c r="L16" s="208">
        <v>180</v>
      </c>
      <c r="M16" s="208">
        <v>2</v>
      </c>
      <c r="N16" s="208"/>
      <c r="O16" s="202">
        <v>9081</v>
      </c>
      <c r="P16" s="203">
        <v>1.409</v>
      </c>
      <c r="Q16" s="161">
        <f>ROUND((L16)*O16/1000*P16,1)+0.9</f>
        <v>2304</v>
      </c>
      <c r="R16" s="161">
        <f t="shared" si="4"/>
        <v>25.6</v>
      </c>
      <c r="S16" s="161">
        <f t="shared" si="9"/>
        <v>0</v>
      </c>
      <c r="T16" s="161">
        <f t="shared" si="5"/>
        <v>2838.2</v>
      </c>
      <c r="U16" s="163">
        <v>2765.8</v>
      </c>
      <c r="V16" s="163">
        <v>72.4</v>
      </c>
      <c r="W16" s="198">
        <f t="shared" si="6"/>
        <v>2838.2000000000003</v>
      </c>
      <c r="X16" s="163">
        <f t="shared" si="7"/>
        <v>72.40000000000009</v>
      </c>
      <c r="Y16" s="165">
        <f t="shared" si="8"/>
        <v>0</v>
      </c>
    </row>
    <row r="17" spans="1:25" s="165" customFormat="1" ht="15.75">
      <c r="A17" s="166">
        <v>10</v>
      </c>
      <c r="B17" s="160" t="s">
        <v>11</v>
      </c>
      <c r="C17" s="206">
        <v>10441</v>
      </c>
      <c r="D17" s="35">
        <v>45</v>
      </c>
      <c r="E17" s="35"/>
      <c r="F17" s="207"/>
      <c r="G17" s="202">
        <v>9081</v>
      </c>
      <c r="H17" s="203">
        <f t="shared" si="0"/>
        <v>1.15</v>
      </c>
      <c r="I17" s="204">
        <f t="shared" si="1"/>
        <v>469.9</v>
      </c>
      <c r="J17" s="204">
        <f t="shared" si="2"/>
        <v>0</v>
      </c>
      <c r="K17" s="204">
        <f t="shared" si="3"/>
        <v>0</v>
      </c>
      <c r="L17" s="208">
        <v>189</v>
      </c>
      <c r="M17" s="208"/>
      <c r="N17" s="208"/>
      <c r="O17" s="202">
        <v>9081</v>
      </c>
      <c r="P17" s="203">
        <v>1.198</v>
      </c>
      <c r="Q17" s="161">
        <f>ROUND((L17)*O17/1000*P17,1)+0.2</f>
        <v>2056.2999999999997</v>
      </c>
      <c r="R17" s="161">
        <f t="shared" si="4"/>
        <v>0</v>
      </c>
      <c r="S17" s="161">
        <f t="shared" si="9"/>
        <v>0</v>
      </c>
      <c r="T17" s="161">
        <f t="shared" si="5"/>
        <v>2526.2</v>
      </c>
      <c r="U17" s="163">
        <v>2443.1</v>
      </c>
      <c r="V17" s="163">
        <v>83.1</v>
      </c>
      <c r="W17" s="198">
        <f t="shared" si="6"/>
        <v>2526.2</v>
      </c>
      <c r="X17" s="163">
        <f t="shared" si="7"/>
        <v>83.09999999999991</v>
      </c>
      <c r="Y17" s="165">
        <f t="shared" si="8"/>
        <v>0</v>
      </c>
    </row>
    <row r="18" spans="1:25" s="165" customFormat="1" ht="15.75">
      <c r="A18" s="159">
        <v>11</v>
      </c>
      <c r="B18" s="167" t="s">
        <v>12</v>
      </c>
      <c r="C18" s="213">
        <v>21469</v>
      </c>
      <c r="D18" s="214">
        <v>21</v>
      </c>
      <c r="E18" s="214">
        <v>1</v>
      </c>
      <c r="F18" s="215"/>
      <c r="G18" s="202">
        <v>9081</v>
      </c>
      <c r="H18" s="203">
        <f t="shared" si="0"/>
        <v>2.364</v>
      </c>
      <c r="I18" s="204">
        <f t="shared" si="1"/>
        <v>450.8</v>
      </c>
      <c r="J18" s="204">
        <f t="shared" si="2"/>
        <v>21.5</v>
      </c>
      <c r="K18" s="204">
        <f t="shared" si="3"/>
        <v>0</v>
      </c>
      <c r="L18" s="216">
        <v>65</v>
      </c>
      <c r="M18" s="216">
        <v>1</v>
      </c>
      <c r="N18" s="216">
        <v>1</v>
      </c>
      <c r="O18" s="202">
        <v>9081</v>
      </c>
      <c r="P18" s="203">
        <v>2.454</v>
      </c>
      <c r="Q18" s="161">
        <f>ROUND((L18)*O18/1000*P18,1)+0.9</f>
        <v>1449.4</v>
      </c>
      <c r="R18" s="161">
        <f t="shared" si="4"/>
        <v>22.3</v>
      </c>
      <c r="S18" s="161">
        <f t="shared" si="9"/>
        <v>22.3</v>
      </c>
      <c r="T18" s="161">
        <f t="shared" si="5"/>
        <v>1966.3</v>
      </c>
      <c r="U18" s="163">
        <v>1910.7</v>
      </c>
      <c r="V18" s="163">
        <v>55.6</v>
      </c>
      <c r="W18" s="198">
        <f t="shared" si="6"/>
        <v>1966.3</v>
      </c>
      <c r="X18" s="163">
        <f t="shared" si="7"/>
        <v>55.59999999999991</v>
      </c>
      <c r="Y18" s="165">
        <f t="shared" si="8"/>
        <v>0</v>
      </c>
    </row>
    <row r="19" spans="1:25" s="165" customFormat="1" ht="15.75">
      <c r="A19" s="166">
        <v>12</v>
      </c>
      <c r="B19" s="160" t="s">
        <v>26</v>
      </c>
      <c r="C19" s="206">
        <v>28285</v>
      </c>
      <c r="D19" s="35"/>
      <c r="E19" s="35"/>
      <c r="F19" s="207"/>
      <c r="G19" s="202">
        <v>9081</v>
      </c>
      <c r="H19" s="203">
        <f t="shared" si="0"/>
        <v>3.115</v>
      </c>
      <c r="I19" s="204">
        <f t="shared" si="1"/>
        <v>0</v>
      </c>
      <c r="J19" s="204">
        <f t="shared" si="2"/>
        <v>0</v>
      </c>
      <c r="K19" s="204">
        <f t="shared" si="3"/>
        <v>0</v>
      </c>
      <c r="L19" s="208">
        <v>24</v>
      </c>
      <c r="M19" s="208">
        <v>1</v>
      </c>
      <c r="N19" s="208">
        <v>1</v>
      </c>
      <c r="O19" s="202">
        <v>9081</v>
      </c>
      <c r="P19" s="203">
        <v>3.261</v>
      </c>
      <c r="Q19" s="161">
        <f>ROUND((L19)*O19/1000*P19,1)+0.8</f>
        <v>711.5</v>
      </c>
      <c r="R19" s="161">
        <f t="shared" si="4"/>
        <v>29.6</v>
      </c>
      <c r="S19" s="161">
        <f t="shared" si="9"/>
        <v>29.6</v>
      </c>
      <c r="T19" s="161">
        <f t="shared" si="5"/>
        <v>770.7</v>
      </c>
      <c r="U19" s="163">
        <v>735.3999999999999</v>
      </c>
      <c r="V19" s="163">
        <v>35.3</v>
      </c>
      <c r="W19" s="198">
        <f t="shared" si="6"/>
        <v>770.6999999999998</v>
      </c>
      <c r="X19" s="163">
        <f t="shared" si="7"/>
        <v>35.299999999999955</v>
      </c>
      <c r="Y19" s="165">
        <f t="shared" si="8"/>
        <v>0</v>
      </c>
    </row>
    <row r="20" spans="1:25" s="165" customFormat="1" ht="15.75">
      <c r="A20" s="159">
        <v>13</v>
      </c>
      <c r="B20" s="160" t="s">
        <v>25</v>
      </c>
      <c r="C20" s="210">
        <v>19032</v>
      </c>
      <c r="D20" s="211"/>
      <c r="E20" s="211"/>
      <c r="F20" s="212"/>
      <c r="G20" s="202">
        <v>9081</v>
      </c>
      <c r="H20" s="203">
        <f t="shared" si="0"/>
        <v>2.096</v>
      </c>
      <c r="I20" s="204">
        <f t="shared" si="1"/>
        <v>0</v>
      </c>
      <c r="J20" s="204">
        <f t="shared" si="2"/>
        <v>0</v>
      </c>
      <c r="K20" s="204">
        <f t="shared" si="3"/>
        <v>0</v>
      </c>
      <c r="L20" s="208">
        <v>23</v>
      </c>
      <c r="M20" s="208"/>
      <c r="N20" s="208">
        <v>2</v>
      </c>
      <c r="O20" s="202">
        <v>9081</v>
      </c>
      <c r="P20" s="203">
        <v>2.175</v>
      </c>
      <c r="Q20" s="161">
        <f>ROUND((L20)*O20/1000*P20,1)+0.7</f>
        <v>455</v>
      </c>
      <c r="R20" s="161">
        <f t="shared" si="4"/>
        <v>0</v>
      </c>
      <c r="S20" s="161">
        <f t="shared" si="9"/>
        <v>39.5</v>
      </c>
      <c r="T20" s="161">
        <f t="shared" si="5"/>
        <v>494.5</v>
      </c>
      <c r="U20" s="163">
        <v>475.8</v>
      </c>
      <c r="V20" s="163">
        <v>18.7</v>
      </c>
      <c r="W20" s="198">
        <f t="shared" si="6"/>
        <v>494.5</v>
      </c>
      <c r="X20" s="163">
        <f t="shared" si="7"/>
        <v>18.69999999999999</v>
      </c>
      <c r="Y20" s="165">
        <f t="shared" si="8"/>
        <v>0</v>
      </c>
    </row>
    <row r="21" spans="1:25" s="165" customFormat="1" ht="15.75">
      <c r="A21" s="166">
        <v>14</v>
      </c>
      <c r="B21" s="160" t="s">
        <v>13</v>
      </c>
      <c r="C21" s="206">
        <v>11724</v>
      </c>
      <c r="D21" s="35"/>
      <c r="E21" s="35"/>
      <c r="F21" s="207"/>
      <c r="G21" s="202">
        <v>9081</v>
      </c>
      <c r="H21" s="203">
        <f t="shared" si="0"/>
        <v>1.291</v>
      </c>
      <c r="I21" s="204">
        <f t="shared" si="1"/>
        <v>0</v>
      </c>
      <c r="J21" s="204">
        <f t="shared" si="2"/>
        <v>0</v>
      </c>
      <c r="K21" s="204">
        <f t="shared" si="3"/>
        <v>0</v>
      </c>
      <c r="L21" s="208">
        <v>82</v>
      </c>
      <c r="M21" s="208">
        <v>4</v>
      </c>
      <c r="N21" s="208"/>
      <c r="O21" s="202">
        <v>9081</v>
      </c>
      <c r="P21" s="203">
        <v>1.343</v>
      </c>
      <c r="Q21" s="161">
        <f>ROUND((L21)*O21/1000*P21,1)</f>
        <v>1000.1</v>
      </c>
      <c r="R21" s="161">
        <f t="shared" si="4"/>
        <v>48.8</v>
      </c>
      <c r="S21" s="161">
        <f t="shared" si="9"/>
        <v>0</v>
      </c>
      <c r="T21" s="161">
        <f t="shared" si="5"/>
        <v>1048.9</v>
      </c>
      <c r="U21" s="163">
        <v>1008.1999999999999</v>
      </c>
      <c r="V21" s="163">
        <v>40.7</v>
      </c>
      <c r="W21" s="198">
        <f t="shared" si="6"/>
        <v>1048.8999999999999</v>
      </c>
      <c r="X21" s="163">
        <f t="shared" si="7"/>
        <v>40.69999999999993</v>
      </c>
      <c r="Y21" s="165">
        <f t="shared" si="8"/>
        <v>0</v>
      </c>
    </row>
    <row r="22" spans="1:25" s="165" customFormat="1" ht="15.75">
      <c r="A22" s="159">
        <v>15</v>
      </c>
      <c r="B22" s="160" t="s">
        <v>14</v>
      </c>
      <c r="C22" s="206">
        <v>18982</v>
      </c>
      <c r="D22" s="35"/>
      <c r="E22" s="35"/>
      <c r="F22" s="207"/>
      <c r="G22" s="202">
        <v>9081</v>
      </c>
      <c r="H22" s="203">
        <f t="shared" si="0"/>
        <v>2.09</v>
      </c>
      <c r="I22" s="204">
        <f t="shared" si="1"/>
        <v>0</v>
      </c>
      <c r="J22" s="204">
        <f t="shared" si="2"/>
        <v>0</v>
      </c>
      <c r="K22" s="204">
        <f t="shared" si="3"/>
        <v>0</v>
      </c>
      <c r="L22" s="208">
        <v>45</v>
      </c>
      <c r="M22" s="208"/>
      <c r="N22" s="208"/>
      <c r="O22" s="202">
        <v>9081</v>
      </c>
      <c r="P22" s="203">
        <v>2.183</v>
      </c>
      <c r="Q22" s="161">
        <f>ROUND((L22)*O22/1000*P22,1)-0.1</f>
        <v>892</v>
      </c>
      <c r="R22" s="161">
        <f t="shared" si="4"/>
        <v>0</v>
      </c>
      <c r="S22" s="161">
        <f t="shared" si="9"/>
        <v>0</v>
      </c>
      <c r="T22" s="161">
        <f t="shared" si="5"/>
        <v>892</v>
      </c>
      <c r="U22" s="163">
        <v>854.1</v>
      </c>
      <c r="V22" s="163">
        <v>37.900000000000006</v>
      </c>
      <c r="W22" s="198">
        <f t="shared" si="6"/>
        <v>892</v>
      </c>
      <c r="X22" s="163">
        <f t="shared" si="7"/>
        <v>37.89999999999998</v>
      </c>
      <c r="Y22" s="165">
        <f t="shared" si="8"/>
        <v>0</v>
      </c>
    </row>
    <row r="23" spans="1:25" s="165" customFormat="1" ht="15.75">
      <c r="A23" s="166">
        <v>16</v>
      </c>
      <c r="B23" s="160" t="s">
        <v>15</v>
      </c>
      <c r="C23" s="206">
        <v>16720</v>
      </c>
      <c r="D23" s="35"/>
      <c r="E23" s="35"/>
      <c r="F23" s="207"/>
      <c r="G23" s="202">
        <v>9081</v>
      </c>
      <c r="H23" s="203">
        <f t="shared" si="0"/>
        <v>1.841</v>
      </c>
      <c r="I23" s="204">
        <f t="shared" si="1"/>
        <v>0</v>
      </c>
      <c r="J23" s="204">
        <f t="shared" si="2"/>
        <v>0</v>
      </c>
      <c r="K23" s="204">
        <f t="shared" si="3"/>
        <v>0</v>
      </c>
      <c r="L23" s="208">
        <v>50</v>
      </c>
      <c r="M23" s="208"/>
      <c r="N23" s="208"/>
      <c r="O23" s="202">
        <v>9081</v>
      </c>
      <c r="P23" s="203">
        <v>1.92</v>
      </c>
      <c r="Q23" s="161">
        <f>ROUND((L23)*O23/1000*P23,1)+0.7</f>
        <v>872.5</v>
      </c>
      <c r="R23" s="161">
        <f t="shared" si="4"/>
        <v>0</v>
      </c>
      <c r="S23" s="161">
        <f t="shared" si="9"/>
        <v>0</v>
      </c>
      <c r="T23" s="161">
        <f t="shared" si="5"/>
        <v>872.5</v>
      </c>
      <c r="U23" s="163">
        <v>835.9</v>
      </c>
      <c r="V23" s="163">
        <v>36.599999999999994</v>
      </c>
      <c r="W23" s="198">
        <f t="shared" si="6"/>
        <v>872.5</v>
      </c>
      <c r="X23" s="163">
        <f t="shared" si="7"/>
        <v>36.60000000000002</v>
      </c>
      <c r="Y23" s="165">
        <f t="shared" si="8"/>
        <v>0</v>
      </c>
    </row>
    <row r="24" spans="1:25" s="169" customFormat="1" ht="16.5" customHeight="1">
      <c r="A24" s="168">
        <v>17</v>
      </c>
      <c r="B24" s="167" t="s">
        <v>16</v>
      </c>
      <c r="C24" s="217">
        <v>14441</v>
      </c>
      <c r="D24" s="218"/>
      <c r="E24" s="218"/>
      <c r="F24" s="219"/>
      <c r="G24" s="202">
        <v>9081</v>
      </c>
      <c r="H24" s="203">
        <f t="shared" si="0"/>
        <v>1.59</v>
      </c>
      <c r="I24" s="204">
        <f t="shared" si="1"/>
        <v>0</v>
      </c>
      <c r="J24" s="204">
        <f t="shared" si="2"/>
        <v>0</v>
      </c>
      <c r="K24" s="204">
        <f t="shared" si="3"/>
        <v>0</v>
      </c>
      <c r="L24" s="208">
        <v>63</v>
      </c>
      <c r="M24" s="208"/>
      <c r="N24" s="208">
        <v>1</v>
      </c>
      <c r="O24" s="202">
        <v>9081</v>
      </c>
      <c r="P24" s="203">
        <v>1.664</v>
      </c>
      <c r="Q24" s="161">
        <f>ROUND((L24)*O24/1000*P24,1)-0.9</f>
        <v>951.1</v>
      </c>
      <c r="R24" s="161">
        <f t="shared" si="4"/>
        <v>0</v>
      </c>
      <c r="S24" s="161">
        <f t="shared" si="9"/>
        <v>15.1</v>
      </c>
      <c r="T24" s="161">
        <f t="shared" si="5"/>
        <v>966.2</v>
      </c>
      <c r="U24" s="163">
        <v>924.2</v>
      </c>
      <c r="V24" s="58">
        <v>42</v>
      </c>
      <c r="W24" s="198">
        <f t="shared" si="6"/>
        <v>966.2</v>
      </c>
      <c r="X24" s="163">
        <f t="shared" si="7"/>
        <v>42</v>
      </c>
      <c r="Y24" s="165">
        <f t="shared" si="8"/>
        <v>0</v>
      </c>
    </row>
    <row r="25" spans="1:25" s="165" customFormat="1" ht="19.5" customHeight="1">
      <c r="A25" s="166">
        <v>18</v>
      </c>
      <c r="B25" s="160" t="s">
        <v>27</v>
      </c>
      <c r="C25" s="220">
        <v>37522</v>
      </c>
      <c r="D25" s="36"/>
      <c r="E25" s="36"/>
      <c r="F25" s="221"/>
      <c r="G25" s="202">
        <v>9081</v>
      </c>
      <c r="H25" s="203">
        <f t="shared" si="0"/>
        <v>4.132</v>
      </c>
      <c r="I25" s="204">
        <f t="shared" si="1"/>
        <v>0</v>
      </c>
      <c r="J25" s="204">
        <f t="shared" si="2"/>
        <v>0</v>
      </c>
      <c r="K25" s="204">
        <f t="shared" si="3"/>
        <v>0</v>
      </c>
      <c r="L25" s="208">
        <v>18</v>
      </c>
      <c r="M25" s="208"/>
      <c r="N25" s="208"/>
      <c r="O25" s="202">
        <v>9081</v>
      </c>
      <c r="P25" s="203">
        <v>4.35</v>
      </c>
      <c r="Q25" s="161">
        <f>ROUND((L25)*O25/1000*P25,1)-0.3</f>
        <v>710.7</v>
      </c>
      <c r="R25" s="161">
        <f t="shared" si="4"/>
        <v>0</v>
      </c>
      <c r="S25" s="161">
        <f t="shared" si="9"/>
        <v>0</v>
      </c>
      <c r="T25" s="161">
        <f t="shared" si="5"/>
        <v>710.7</v>
      </c>
      <c r="U25" s="163">
        <v>675.4</v>
      </c>
      <c r="V25" s="163">
        <v>35.3</v>
      </c>
      <c r="W25" s="198">
        <f t="shared" si="6"/>
        <v>710.6999999999999</v>
      </c>
      <c r="X25" s="163">
        <f t="shared" si="7"/>
        <v>35.299999999999955</v>
      </c>
      <c r="Y25" s="165">
        <f t="shared" si="8"/>
        <v>0</v>
      </c>
    </row>
    <row r="26" spans="1:25" s="165" customFormat="1" ht="19.5" customHeight="1">
      <c r="A26" s="159">
        <v>19</v>
      </c>
      <c r="B26" s="160" t="s">
        <v>28</v>
      </c>
      <c r="C26" s="220">
        <v>90163</v>
      </c>
      <c r="D26" s="36"/>
      <c r="E26" s="36"/>
      <c r="F26" s="221"/>
      <c r="G26" s="202">
        <v>9081</v>
      </c>
      <c r="H26" s="203">
        <f t="shared" si="0"/>
        <v>9.929</v>
      </c>
      <c r="I26" s="204">
        <f t="shared" si="1"/>
        <v>0</v>
      </c>
      <c r="J26" s="204">
        <f t="shared" si="2"/>
        <v>0</v>
      </c>
      <c r="K26" s="204">
        <f t="shared" si="3"/>
        <v>0</v>
      </c>
      <c r="L26" s="208">
        <v>8</v>
      </c>
      <c r="M26" s="208"/>
      <c r="N26" s="208"/>
      <c r="O26" s="202">
        <v>9081</v>
      </c>
      <c r="P26" s="203">
        <v>10.405</v>
      </c>
      <c r="Q26" s="161">
        <f>ROUND((L26)*O26/1000*P26,1)+0.7</f>
        <v>756.6</v>
      </c>
      <c r="R26" s="161">
        <f t="shared" si="4"/>
        <v>0</v>
      </c>
      <c r="S26" s="161">
        <f t="shared" si="9"/>
        <v>0</v>
      </c>
      <c r="T26" s="161">
        <f t="shared" si="5"/>
        <v>756.6</v>
      </c>
      <c r="U26" s="163">
        <v>721.3</v>
      </c>
      <c r="V26" s="163">
        <v>35.3</v>
      </c>
      <c r="W26" s="198">
        <f t="shared" si="6"/>
        <v>756.5999999999999</v>
      </c>
      <c r="X26" s="163">
        <f t="shared" si="7"/>
        <v>35.299999999999955</v>
      </c>
      <c r="Y26" s="165">
        <f t="shared" si="8"/>
        <v>0</v>
      </c>
    </row>
    <row r="27" spans="1:25" s="165" customFormat="1" ht="18" customHeight="1">
      <c r="A27" s="166">
        <v>20</v>
      </c>
      <c r="B27" s="160" t="s">
        <v>29</v>
      </c>
      <c r="C27" s="220">
        <v>58817</v>
      </c>
      <c r="D27" s="36"/>
      <c r="E27" s="36"/>
      <c r="F27" s="221"/>
      <c r="G27" s="202">
        <v>9081</v>
      </c>
      <c r="H27" s="203">
        <f t="shared" si="0"/>
        <v>6.477</v>
      </c>
      <c r="I27" s="204">
        <f t="shared" si="1"/>
        <v>0</v>
      </c>
      <c r="J27" s="204">
        <f t="shared" si="2"/>
        <v>0</v>
      </c>
      <c r="K27" s="204">
        <f t="shared" si="3"/>
        <v>0</v>
      </c>
      <c r="L27" s="208">
        <v>12</v>
      </c>
      <c r="M27" s="208"/>
      <c r="N27" s="208"/>
      <c r="O27" s="202">
        <v>9081</v>
      </c>
      <c r="P27" s="203">
        <v>6.79</v>
      </c>
      <c r="Q27" s="161">
        <f>ROUND((L27)*O27/1000*P27,1)+1.1</f>
        <v>741</v>
      </c>
      <c r="R27" s="161">
        <f t="shared" si="4"/>
        <v>0</v>
      </c>
      <c r="S27" s="161">
        <f t="shared" si="9"/>
        <v>0</v>
      </c>
      <c r="T27" s="161">
        <f t="shared" si="5"/>
        <v>741</v>
      </c>
      <c r="U27" s="163">
        <v>705.6999999999999</v>
      </c>
      <c r="V27" s="163">
        <v>35.3</v>
      </c>
      <c r="W27" s="198">
        <f t="shared" si="6"/>
        <v>740.9999999999999</v>
      </c>
      <c r="X27" s="163">
        <f t="shared" si="7"/>
        <v>35.299999999999955</v>
      </c>
      <c r="Y27" s="165">
        <f t="shared" si="8"/>
        <v>0</v>
      </c>
    </row>
    <row r="28" spans="1:25" s="165" customFormat="1" ht="18.75" customHeight="1">
      <c r="A28" s="159">
        <v>21</v>
      </c>
      <c r="B28" s="160" t="s">
        <v>30</v>
      </c>
      <c r="C28" s="220">
        <v>25544</v>
      </c>
      <c r="D28" s="36"/>
      <c r="E28" s="36"/>
      <c r="F28" s="221"/>
      <c r="G28" s="202">
        <v>9081</v>
      </c>
      <c r="H28" s="203">
        <f t="shared" si="0"/>
        <v>2.813</v>
      </c>
      <c r="I28" s="204">
        <f t="shared" si="1"/>
        <v>0</v>
      </c>
      <c r="J28" s="204">
        <f t="shared" si="2"/>
        <v>0</v>
      </c>
      <c r="K28" s="204">
        <f t="shared" si="3"/>
        <v>0</v>
      </c>
      <c r="L28" s="208">
        <v>26</v>
      </c>
      <c r="M28" s="208"/>
      <c r="N28" s="208">
        <v>1</v>
      </c>
      <c r="O28" s="202">
        <v>9081</v>
      </c>
      <c r="P28" s="203">
        <v>2.949</v>
      </c>
      <c r="Q28" s="161">
        <f>ROUND((L28)*O28/1000*P28,1)+1.8</f>
        <v>698.0999999999999</v>
      </c>
      <c r="R28" s="161">
        <f t="shared" si="4"/>
        <v>0</v>
      </c>
      <c r="S28" s="161">
        <f t="shared" si="9"/>
        <v>26.8</v>
      </c>
      <c r="T28" s="161">
        <f t="shared" si="5"/>
        <v>724.8999999999999</v>
      </c>
      <c r="U28" s="163">
        <v>689.6</v>
      </c>
      <c r="V28" s="163">
        <v>35.3</v>
      </c>
      <c r="W28" s="198">
        <f t="shared" si="6"/>
        <v>724.9</v>
      </c>
      <c r="X28" s="163">
        <f t="shared" si="7"/>
        <v>35.299999999999955</v>
      </c>
      <c r="Y28" s="165">
        <f t="shared" si="8"/>
        <v>0</v>
      </c>
    </row>
    <row r="29" spans="1:25" s="165" customFormat="1" ht="15.75">
      <c r="A29" s="166">
        <v>22</v>
      </c>
      <c r="B29" s="160" t="s">
        <v>17</v>
      </c>
      <c r="C29" s="200">
        <v>12095</v>
      </c>
      <c r="D29" s="37"/>
      <c r="E29" s="37"/>
      <c r="F29" s="201"/>
      <c r="G29" s="202">
        <v>9081</v>
      </c>
      <c r="H29" s="203">
        <f t="shared" si="0"/>
        <v>1.332</v>
      </c>
      <c r="I29" s="204">
        <f t="shared" si="1"/>
        <v>0</v>
      </c>
      <c r="J29" s="204">
        <f t="shared" si="2"/>
        <v>0</v>
      </c>
      <c r="K29" s="204">
        <f t="shared" si="3"/>
        <v>0</v>
      </c>
      <c r="L29" s="205">
        <v>92</v>
      </c>
      <c r="M29" s="205">
        <v>3</v>
      </c>
      <c r="N29" s="205"/>
      <c r="O29" s="202">
        <v>9081</v>
      </c>
      <c r="P29" s="203">
        <v>1.395</v>
      </c>
      <c r="Q29" s="161">
        <f>ROUND((L29)*O29/1000*P29,1)-0.4</f>
        <v>1165.1</v>
      </c>
      <c r="R29" s="161">
        <f t="shared" si="4"/>
        <v>38</v>
      </c>
      <c r="S29" s="161">
        <f t="shared" si="9"/>
        <v>0</v>
      </c>
      <c r="T29" s="161">
        <f t="shared" si="5"/>
        <v>1203.1</v>
      </c>
      <c r="U29" s="163">
        <v>1149</v>
      </c>
      <c r="V29" s="163">
        <v>54.09999999999999</v>
      </c>
      <c r="W29" s="198">
        <f t="shared" si="6"/>
        <v>1203.1</v>
      </c>
      <c r="X29" s="163">
        <f t="shared" si="7"/>
        <v>54.09999999999991</v>
      </c>
      <c r="Y29" s="165">
        <f t="shared" si="8"/>
        <v>0</v>
      </c>
    </row>
    <row r="30" spans="1:25" s="165" customFormat="1" ht="15.75">
      <c r="A30" s="159">
        <v>23</v>
      </c>
      <c r="B30" s="160" t="s">
        <v>18</v>
      </c>
      <c r="C30" s="206">
        <v>12546</v>
      </c>
      <c r="D30" s="35"/>
      <c r="E30" s="35"/>
      <c r="F30" s="207"/>
      <c r="G30" s="202">
        <v>9081</v>
      </c>
      <c r="H30" s="203">
        <f t="shared" si="0"/>
        <v>1.382</v>
      </c>
      <c r="I30" s="204">
        <f t="shared" si="1"/>
        <v>0</v>
      </c>
      <c r="J30" s="204">
        <f t="shared" si="2"/>
        <v>0</v>
      </c>
      <c r="K30" s="204">
        <f t="shared" si="3"/>
        <v>0</v>
      </c>
      <c r="L30" s="208">
        <v>90</v>
      </c>
      <c r="M30" s="208">
        <v>1</v>
      </c>
      <c r="N30" s="208"/>
      <c r="O30" s="202">
        <v>9081</v>
      </c>
      <c r="P30" s="203">
        <v>1.433</v>
      </c>
      <c r="Q30" s="161">
        <f>ROUND((L30)*O30/1000*P30,1)+0.4</f>
        <v>1171.6000000000001</v>
      </c>
      <c r="R30" s="161">
        <f t="shared" si="4"/>
        <v>13</v>
      </c>
      <c r="S30" s="161">
        <f t="shared" si="9"/>
        <v>0</v>
      </c>
      <c r="T30" s="161">
        <f t="shared" si="5"/>
        <v>1184.6000000000001</v>
      </c>
      <c r="U30" s="163">
        <v>1141.7</v>
      </c>
      <c r="V30" s="163">
        <v>42.90000000000001</v>
      </c>
      <c r="W30" s="198">
        <f t="shared" si="6"/>
        <v>1184.6000000000001</v>
      </c>
      <c r="X30" s="163">
        <f t="shared" si="7"/>
        <v>42.90000000000009</v>
      </c>
      <c r="Y30" s="165">
        <f t="shared" si="8"/>
        <v>0</v>
      </c>
    </row>
    <row r="31" spans="1:25" s="169" customFormat="1" ht="18" customHeight="1">
      <c r="A31" s="166">
        <v>24</v>
      </c>
      <c r="B31" s="167" t="s">
        <v>19</v>
      </c>
      <c r="C31" s="220">
        <v>10507</v>
      </c>
      <c r="D31" s="36">
        <v>21</v>
      </c>
      <c r="E31" s="35"/>
      <c r="F31" s="207"/>
      <c r="G31" s="202">
        <v>9081</v>
      </c>
      <c r="H31" s="203">
        <f t="shared" si="0"/>
        <v>1.157</v>
      </c>
      <c r="I31" s="204">
        <f t="shared" si="1"/>
        <v>220.6</v>
      </c>
      <c r="J31" s="204">
        <f t="shared" si="2"/>
        <v>0</v>
      </c>
      <c r="K31" s="204">
        <f t="shared" si="3"/>
        <v>0</v>
      </c>
      <c r="L31" s="208">
        <v>93</v>
      </c>
      <c r="M31" s="208">
        <v>2</v>
      </c>
      <c r="N31" s="208">
        <v>1</v>
      </c>
      <c r="O31" s="202">
        <v>9081</v>
      </c>
      <c r="P31" s="203">
        <v>1.208</v>
      </c>
      <c r="Q31" s="161">
        <f>ROUND((L31)*O31/1000*P31,1)-0.2</f>
        <v>1020</v>
      </c>
      <c r="R31" s="161">
        <f t="shared" si="4"/>
        <v>21.9</v>
      </c>
      <c r="S31" s="161">
        <f t="shared" si="9"/>
        <v>11</v>
      </c>
      <c r="T31" s="161">
        <f t="shared" si="5"/>
        <v>1273.5</v>
      </c>
      <c r="U31" s="163">
        <v>1229.3</v>
      </c>
      <c r="V31" s="58">
        <v>44.2</v>
      </c>
      <c r="W31" s="198">
        <f t="shared" si="6"/>
        <v>1273.5</v>
      </c>
      <c r="X31" s="163">
        <f t="shared" si="7"/>
        <v>44.200000000000045</v>
      </c>
      <c r="Y31" s="165">
        <f t="shared" si="8"/>
        <v>0</v>
      </c>
    </row>
    <row r="32" spans="1:25" s="165" customFormat="1" ht="15.75">
      <c r="A32" s="159">
        <v>25</v>
      </c>
      <c r="B32" s="160" t="s">
        <v>20</v>
      </c>
      <c r="C32" s="206">
        <v>8931</v>
      </c>
      <c r="D32" s="35">
        <v>18</v>
      </c>
      <c r="E32" s="35"/>
      <c r="F32" s="207"/>
      <c r="G32" s="202">
        <v>9081</v>
      </c>
      <c r="H32" s="203">
        <f t="shared" si="0"/>
        <v>0.983</v>
      </c>
      <c r="I32" s="204">
        <f t="shared" si="1"/>
        <v>160.7</v>
      </c>
      <c r="J32" s="204">
        <f t="shared" si="2"/>
        <v>0</v>
      </c>
      <c r="K32" s="204">
        <f t="shared" si="3"/>
        <v>0</v>
      </c>
      <c r="L32" s="208">
        <v>118</v>
      </c>
      <c r="M32" s="208">
        <v>1</v>
      </c>
      <c r="N32" s="208"/>
      <c r="O32" s="202">
        <v>9081</v>
      </c>
      <c r="P32" s="203">
        <v>1.021</v>
      </c>
      <c r="Q32" s="161">
        <f>ROUND((L32)*O32/1000*P32,1)+1</f>
        <v>1095.1</v>
      </c>
      <c r="R32" s="161">
        <f t="shared" si="4"/>
        <v>9.3</v>
      </c>
      <c r="S32" s="161">
        <f t="shared" si="9"/>
        <v>0</v>
      </c>
      <c r="T32" s="161">
        <f t="shared" si="5"/>
        <v>1265.1</v>
      </c>
      <c r="U32" s="163">
        <v>1223.5</v>
      </c>
      <c r="V32" s="163">
        <v>41.6</v>
      </c>
      <c r="W32" s="198">
        <f t="shared" si="6"/>
        <v>1265.1</v>
      </c>
      <c r="X32" s="163">
        <f t="shared" si="7"/>
        <v>41.59999999999991</v>
      </c>
      <c r="Y32" s="165">
        <f t="shared" si="8"/>
        <v>0</v>
      </c>
    </row>
    <row r="33" spans="1:25" s="165" customFormat="1" ht="15.75">
      <c r="A33" s="166">
        <v>26</v>
      </c>
      <c r="B33" s="160" t="s">
        <v>21</v>
      </c>
      <c r="C33" s="222">
        <v>10997</v>
      </c>
      <c r="D33" s="223">
        <v>24</v>
      </c>
      <c r="E33" s="223"/>
      <c r="F33" s="224"/>
      <c r="G33" s="202">
        <v>9081</v>
      </c>
      <c r="H33" s="203">
        <f t="shared" si="0"/>
        <v>1.211</v>
      </c>
      <c r="I33" s="204">
        <f t="shared" si="1"/>
        <v>263.9</v>
      </c>
      <c r="J33" s="204">
        <f t="shared" si="2"/>
        <v>0</v>
      </c>
      <c r="K33" s="204">
        <f t="shared" si="3"/>
        <v>0</v>
      </c>
      <c r="L33" s="225">
        <v>109</v>
      </c>
      <c r="M33" s="225">
        <v>3</v>
      </c>
      <c r="N33" s="225"/>
      <c r="O33" s="202">
        <v>9081</v>
      </c>
      <c r="P33" s="203">
        <v>1.265</v>
      </c>
      <c r="Q33" s="161">
        <f>ROUND((L33)*O33/1000*P33,1)+1.7</f>
        <v>1253.8</v>
      </c>
      <c r="R33" s="161">
        <f t="shared" si="4"/>
        <v>34.5</v>
      </c>
      <c r="S33" s="161">
        <f t="shared" si="9"/>
        <v>0</v>
      </c>
      <c r="T33" s="161">
        <f t="shared" si="5"/>
        <v>1552.1999999999998</v>
      </c>
      <c r="U33" s="163">
        <v>1495.5</v>
      </c>
      <c r="V33" s="163">
        <v>56.7</v>
      </c>
      <c r="W33" s="198">
        <f t="shared" si="6"/>
        <v>1552.2</v>
      </c>
      <c r="X33" s="163">
        <f t="shared" si="7"/>
        <v>56.700000000000045</v>
      </c>
      <c r="Y33" s="165">
        <f t="shared" si="8"/>
        <v>0</v>
      </c>
    </row>
    <row r="34" spans="1:25" s="165" customFormat="1" ht="15.75">
      <c r="A34" s="159">
        <v>27</v>
      </c>
      <c r="B34" s="160" t="s">
        <v>31</v>
      </c>
      <c r="C34" s="206">
        <v>34935</v>
      </c>
      <c r="D34" s="35"/>
      <c r="E34" s="35"/>
      <c r="F34" s="207"/>
      <c r="G34" s="202">
        <v>9081</v>
      </c>
      <c r="H34" s="203">
        <f t="shared" si="0"/>
        <v>3.847</v>
      </c>
      <c r="I34" s="204">
        <f t="shared" si="1"/>
        <v>0</v>
      </c>
      <c r="J34" s="204">
        <f t="shared" si="2"/>
        <v>0</v>
      </c>
      <c r="K34" s="204">
        <f t="shared" si="3"/>
        <v>0</v>
      </c>
      <c r="L34" s="208">
        <v>20</v>
      </c>
      <c r="M34" s="208"/>
      <c r="N34" s="208"/>
      <c r="O34" s="202">
        <v>9081</v>
      </c>
      <c r="P34" s="203">
        <v>4.04</v>
      </c>
      <c r="Q34" s="161">
        <f>ROUND((L34)*O34/1000*P34,1)+0.3</f>
        <v>734</v>
      </c>
      <c r="R34" s="161">
        <f t="shared" si="4"/>
        <v>0</v>
      </c>
      <c r="S34" s="161">
        <f t="shared" si="9"/>
        <v>0</v>
      </c>
      <c r="T34" s="161">
        <f t="shared" si="5"/>
        <v>734</v>
      </c>
      <c r="U34" s="163">
        <v>698.7</v>
      </c>
      <c r="V34" s="163">
        <v>35.3</v>
      </c>
      <c r="W34" s="198">
        <f t="shared" si="6"/>
        <v>734</v>
      </c>
      <c r="X34" s="163">
        <f t="shared" si="7"/>
        <v>35.299999999999955</v>
      </c>
      <c r="Y34" s="165">
        <f t="shared" si="8"/>
        <v>0</v>
      </c>
    </row>
    <row r="35" spans="1:25" s="165" customFormat="1" ht="15.75">
      <c r="A35" s="166">
        <v>28</v>
      </c>
      <c r="B35" s="160" t="s">
        <v>32</v>
      </c>
      <c r="C35" s="206">
        <v>29089</v>
      </c>
      <c r="D35" s="35"/>
      <c r="E35" s="35"/>
      <c r="F35" s="207"/>
      <c r="G35" s="202">
        <v>9081</v>
      </c>
      <c r="H35" s="203">
        <f t="shared" si="0"/>
        <v>3.203</v>
      </c>
      <c r="I35" s="204">
        <f t="shared" si="1"/>
        <v>0</v>
      </c>
      <c r="J35" s="204">
        <f t="shared" si="2"/>
        <v>0</v>
      </c>
      <c r="K35" s="204">
        <f t="shared" si="3"/>
        <v>0</v>
      </c>
      <c r="L35" s="208">
        <v>18</v>
      </c>
      <c r="M35" s="208"/>
      <c r="N35" s="208"/>
      <c r="O35" s="202">
        <v>9081</v>
      </c>
      <c r="P35" s="203">
        <v>3.36</v>
      </c>
      <c r="Q35" s="161">
        <f>ROUND((L35)*O35/1000*P35,1)+0.2</f>
        <v>549.4000000000001</v>
      </c>
      <c r="R35" s="161">
        <f t="shared" si="4"/>
        <v>0</v>
      </c>
      <c r="S35" s="161">
        <f t="shared" si="9"/>
        <v>0</v>
      </c>
      <c r="T35" s="161">
        <f t="shared" si="5"/>
        <v>549.4000000000001</v>
      </c>
      <c r="U35" s="163">
        <v>523.5</v>
      </c>
      <c r="V35" s="163">
        <v>25.9</v>
      </c>
      <c r="W35" s="198">
        <f t="shared" si="6"/>
        <v>549.4</v>
      </c>
      <c r="X35" s="163">
        <f t="shared" si="7"/>
        <v>25.899999999999977</v>
      </c>
      <c r="Y35" s="165">
        <f t="shared" si="8"/>
        <v>0</v>
      </c>
    </row>
    <row r="36" spans="1:25" s="165" customFormat="1" ht="15.75">
      <c r="A36" s="159">
        <v>29</v>
      </c>
      <c r="B36" s="160" t="s">
        <v>22</v>
      </c>
      <c r="C36" s="206">
        <v>9887</v>
      </c>
      <c r="D36" s="35"/>
      <c r="E36" s="35"/>
      <c r="F36" s="207"/>
      <c r="G36" s="202">
        <v>9081</v>
      </c>
      <c r="H36" s="203">
        <f t="shared" si="0"/>
        <v>1.089</v>
      </c>
      <c r="I36" s="204">
        <f t="shared" si="1"/>
        <v>0</v>
      </c>
      <c r="J36" s="204">
        <f t="shared" si="2"/>
        <v>0</v>
      </c>
      <c r="K36" s="204">
        <f t="shared" si="3"/>
        <v>0</v>
      </c>
      <c r="L36" s="208">
        <v>62</v>
      </c>
      <c r="M36" s="208"/>
      <c r="N36" s="208"/>
      <c r="O36" s="202">
        <v>9081</v>
      </c>
      <c r="P36" s="203">
        <v>1.129</v>
      </c>
      <c r="Q36" s="161">
        <f>ROUND((L36)*O36/1000*P36,1)+1.3</f>
        <v>637</v>
      </c>
      <c r="R36" s="161">
        <f t="shared" si="4"/>
        <v>0</v>
      </c>
      <c r="S36" s="161">
        <f t="shared" si="9"/>
        <v>0</v>
      </c>
      <c r="T36" s="161">
        <f t="shared" si="5"/>
        <v>637</v>
      </c>
      <c r="U36" s="163">
        <v>612.9</v>
      </c>
      <c r="V36" s="163">
        <v>24.099999999999998</v>
      </c>
      <c r="W36" s="198">
        <f t="shared" si="6"/>
        <v>637</v>
      </c>
      <c r="X36" s="163">
        <f t="shared" si="7"/>
        <v>24.100000000000023</v>
      </c>
      <c r="Y36" s="165">
        <f t="shared" si="8"/>
        <v>0</v>
      </c>
    </row>
    <row r="37" spans="1:25" s="165" customFormat="1" ht="15.75">
      <c r="A37" s="166">
        <v>30</v>
      </c>
      <c r="B37" s="160" t="s">
        <v>33</v>
      </c>
      <c r="C37" s="210">
        <v>62575</v>
      </c>
      <c r="D37" s="211"/>
      <c r="E37" s="211"/>
      <c r="F37" s="212"/>
      <c r="G37" s="202">
        <v>9081</v>
      </c>
      <c r="H37" s="203">
        <f t="shared" si="0"/>
        <v>6.891</v>
      </c>
      <c r="I37" s="204">
        <f t="shared" si="1"/>
        <v>0</v>
      </c>
      <c r="J37" s="204">
        <f t="shared" si="2"/>
        <v>0</v>
      </c>
      <c r="K37" s="204">
        <f t="shared" si="3"/>
        <v>0</v>
      </c>
      <c r="L37" s="208">
        <v>12</v>
      </c>
      <c r="M37" s="208"/>
      <c r="N37" s="208"/>
      <c r="O37" s="202">
        <v>9081</v>
      </c>
      <c r="P37" s="203">
        <v>7.208</v>
      </c>
      <c r="Q37" s="161">
        <f>ROUND((L37)*O37/1000*P37,1)+0.6</f>
        <v>786.1</v>
      </c>
      <c r="R37" s="161">
        <f t="shared" si="4"/>
        <v>0</v>
      </c>
      <c r="S37" s="161">
        <f t="shared" si="9"/>
        <v>0</v>
      </c>
      <c r="T37" s="161">
        <f t="shared" si="5"/>
        <v>786.1</v>
      </c>
      <c r="U37" s="163">
        <v>750.8</v>
      </c>
      <c r="V37" s="163">
        <v>35.3</v>
      </c>
      <c r="W37" s="198">
        <f t="shared" si="6"/>
        <v>786.0999999999999</v>
      </c>
      <c r="X37" s="163">
        <f t="shared" si="7"/>
        <v>35.299999999999955</v>
      </c>
      <c r="Y37" s="165">
        <f t="shared" si="8"/>
        <v>0</v>
      </c>
    </row>
    <row r="38" spans="1:25" s="165" customFormat="1" ht="17.25" customHeight="1">
      <c r="A38" s="159">
        <v>31</v>
      </c>
      <c r="B38" s="160" t="s">
        <v>34</v>
      </c>
      <c r="C38" s="210">
        <v>24332</v>
      </c>
      <c r="D38" s="211"/>
      <c r="E38" s="211"/>
      <c r="F38" s="212"/>
      <c r="G38" s="202">
        <v>9081</v>
      </c>
      <c r="H38" s="203">
        <f t="shared" si="0"/>
        <v>2.679</v>
      </c>
      <c r="I38" s="204">
        <f t="shared" si="1"/>
        <v>0</v>
      </c>
      <c r="J38" s="204">
        <f t="shared" si="2"/>
        <v>0</v>
      </c>
      <c r="K38" s="204">
        <f t="shared" si="3"/>
        <v>0</v>
      </c>
      <c r="L38" s="208">
        <v>28</v>
      </c>
      <c r="M38" s="208">
        <v>3</v>
      </c>
      <c r="N38" s="208"/>
      <c r="O38" s="202">
        <v>9081</v>
      </c>
      <c r="P38" s="203">
        <v>2.808</v>
      </c>
      <c r="Q38" s="161">
        <f>ROUND((L38)*O38/1000*P38,1)+0.4</f>
        <v>714.4</v>
      </c>
      <c r="R38" s="161">
        <f t="shared" si="4"/>
        <v>76.5</v>
      </c>
      <c r="S38" s="161">
        <f t="shared" si="9"/>
        <v>0</v>
      </c>
      <c r="T38" s="161">
        <f t="shared" si="5"/>
        <v>790.9</v>
      </c>
      <c r="U38" s="163">
        <v>754.3000000000001</v>
      </c>
      <c r="V38" s="163">
        <v>36.599999999999994</v>
      </c>
      <c r="W38" s="198">
        <f t="shared" si="6"/>
        <v>790.9000000000001</v>
      </c>
      <c r="X38" s="163">
        <f t="shared" si="7"/>
        <v>36.60000000000002</v>
      </c>
      <c r="Y38" s="165">
        <f t="shared" si="8"/>
        <v>0</v>
      </c>
    </row>
    <row r="39" spans="1:25" s="165" customFormat="1" ht="15.75">
      <c r="A39" s="166">
        <v>32</v>
      </c>
      <c r="B39" s="160" t="s">
        <v>35</v>
      </c>
      <c r="C39" s="206">
        <v>5823</v>
      </c>
      <c r="D39" s="35"/>
      <c r="E39" s="35"/>
      <c r="F39" s="207"/>
      <c r="G39" s="202">
        <v>9081</v>
      </c>
      <c r="H39" s="203">
        <f t="shared" si="0"/>
        <v>0.641</v>
      </c>
      <c r="I39" s="204">
        <f t="shared" si="1"/>
        <v>0</v>
      </c>
      <c r="J39" s="204">
        <f t="shared" si="2"/>
        <v>0</v>
      </c>
      <c r="K39" s="204">
        <f t="shared" si="3"/>
        <v>0</v>
      </c>
      <c r="L39" s="208">
        <v>26</v>
      </c>
      <c r="M39" s="208"/>
      <c r="N39" s="208"/>
      <c r="O39" s="202">
        <v>9081</v>
      </c>
      <c r="P39" s="203">
        <v>0.666</v>
      </c>
      <c r="Q39" s="161">
        <f>ROUND((L39)*O39/1000*P39,1)+0.8</f>
        <v>158</v>
      </c>
      <c r="R39" s="161">
        <f t="shared" si="4"/>
        <v>0</v>
      </c>
      <c r="S39" s="161">
        <f t="shared" si="9"/>
        <v>0</v>
      </c>
      <c r="T39" s="161">
        <f t="shared" si="5"/>
        <v>158</v>
      </c>
      <c r="U39" s="163">
        <v>151.3</v>
      </c>
      <c r="V39" s="163">
        <v>6.7</v>
      </c>
      <c r="W39" s="198">
        <f t="shared" si="6"/>
        <v>158</v>
      </c>
      <c r="X39" s="163">
        <f t="shared" si="7"/>
        <v>6.699999999999989</v>
      </c>
      <c r="Y39" s="165">
        <f t="shared" si="8"/>
        <v>0</v>
      </c>
    </row>
    <row r="40" spans="1:25" s="165" customFormat="1" ht="15.75">
      <c r="A40" s="159">
        <v>33</v>
      </c>
      <c r="B40" s="160" t="s">
        <v>36</v>
      </c>
      <c r="C40" s="206">
        <v>30003</v>
      </c>
      <c r="D40" s="35"/>
      <c r="E40" s="35"/>
      <c r="F40" s="207"/>
      <c r="G40" s="202">
        <v>9081</v>
      </c>
      <c r="H40" s="203">
        <f t="shared" si="0"/>
        <v>3.304</v>
      </c>
      <c r="I40" s="204">
        <f t="shared" si="1"/>
        <v>0</v>
      </c>
      <c r="J40" s="204">
        <f t="shared" si="2"/>
        <v>0</v>
      </c>
      <c r="K40" s="204">
        <f t="shared" si="3"/>
        <v>0</v>
      </c>
      <c r="L40" s="208">
        <v>32</v>
      </c>
      <c r="M40" s="208"/>
      <c r="N40" s="208">
        <v>2</v>
      </c>
      <c r="O40" s="202">
        <v>9081</v>
      </c>
      <c r="P40" s="203">
        <v>3.435</v>
      </c>
      <c r="Q40" s="161">
        <f>ROUND((L40)*O40/1000*P40,1)+0.2</f>
        <v>998.4000000000001</v>
      </c>
      <c r="R40" s="161">
        <f t="shared" si="4"/>
        <v>0</v>
      </c>
      <c r="S40" s="161">
        <f t="shared" si="9"/>
        <v>62.4</v>
      </c>
      <c r="T40" s="161">
        <f t="shared" si="5"/>
        <v>1060.8000000000002</v>
      </c>
      <c r="U40" s="163">
        <v>1020.1</v>
      </c>
      <c r="V40" s="163">
        <v>40.7</v>
      </c>
      <c r="W40" s="198">
        <f t="shared" si="6"/>
        <v>1060.8</v>
      </c>
      <c r="X40" s="163">
        <f t="shared" si="7"/>
        <v>40.69999999999993</v>
      </c>
      <c r="Y40" s="165">
        <f t="shared" si="8"/>
        <v>0</v>
      </c>
    </row>
    <row r="41" spans="1:25" s="169" customFormat="1" ht="16.5" customHeight="1">
      <c r="A41" s="170">
        <v>34</v>
      </c>
      <c r="B41" s="167" t="s">
        <v>37</v>
      </c>
      <c r="C41" s="220">
        <v>19723</v>
      </c>
      <c r="D41" s="36"/>
      <c r="E41" s="35"/>
      <c r="F41" s="207"/>
      <c r="G41" s="202">
        <v>9081</v>
      </c>
      <c r="H41" s="203">
        <f t="shared" si="0"/>
        <v>2.172</v>
      </c>
      <c r="I41" s="204">
        <f t="shared" si="1"/>
        <v>0</v>
      </c>
      <c r="J41" s="204">
        <f t="shared" si="2"/>
        <v>0</v>
      </c>
      <c r="K41" s="204">
        <f t="shared" si="3"/>
        <v>0</v>
      </c>
      <c r="L41" s="208">
        <v>22</v>
      </c>
      <c r="M41" s="208"/>
      <c r="N41" s="208"/>
      <c r="O41" s="202">
        <v>9081</v>
      </c>
      <c r="P41" s="203">
        <v>2.279</v>
      </c>
      <c r="Q41" s="161">
        <f>ROUND((L41)*O41/1000*P41,1)+1.3</f>
        <v>456.6</v>
      </c>
      <c r="R41" s="161">
        <f t="shared" si="4"/>
        <v>0</v>
      </c>
      <c r="S41" s="161">
        <f t="shared" si="9"/>
        <v>0</v>
      </c>
      <c r="T41" s="161">
        <f t="shared" si="5"/>
        <v>456.6</v>
      </c>
      <c r="U41" s="163">
        <v>433.79999999999995</v>
      </c>
      <c r="V41" s="58">
        <v>22.8</v>
      </c>
      <c r="W41" s="198">
        <f t="shared" si="6"/>
        <v>456.59999999999997</v>
      </c>
      <c r="X41" s="163">
        <f t="shared" si="7"/>
        <v>22.80000000000001</v>
      </c>
      <c r="Y41" s="165">
        <f t="shared" si="8"/>
        <v>0</v>
      </c>
    </row>
    <row r="42" spans="1:25" s="169" customFormat="1" ht="15" customHeight="1">
      <c r="A42" s="168">
        <v>35</v>
      </c>
      <c r="B42" s="167" t="s">
        <v>38</v>
      </c>
      <c r="C42" s="220">
        <v>22176</v>
      </c>
      <c r="D42" s="36"/>
      <c r="E42" s="35"/>
      <c r="F42" s="207"/>
      <c r="G42" s="202">
        <v>9081</v>
      </c>
      <c r="H42" s="203">
        <f t="shared" si="0"/>
        <v>2.442</v>
      </c>
      <c r="I42" s="204">
        <f t="shared" si="1"/>
        <v>0</v>
      </c>
      <c r="J42" s="204">
        <f t="shared" si="2"/>
        <v>0</v>
      </c>
      <c r="K42" s="204">
        <f t="shared" si="3"/>
        <v>0</v>
      </c>
      <c r="L42" s="208">
        <v>34</v>
      </c>
      <c r="M42" s="208"/>
      <c r="N42" s="208"/>
      <c r="O42" s="202">
        <v>9081</v>
      </c>
      <c r="P42" s="203">
        <v>2.557</v>
      </c>
      <c r="Q42" s="161">
        <f>ROUND((L42)*O42/1000*P42,1)+1.1</f>
        <v>790.6</v>
      </c>
      <c r="R42" s="161">
        <f t="shared" si="4"/>
        <v>0</v>
      </c>
      <c r="S42" s="161">
        <f t="shared" si="9"/>
        <v>0</v>
      </c>
      <c r="T42" s="161">
        <f t="shared" si="5"/>
        <v>790.6</v>
      </c>
      <c r="U42" s="163">
        <v>754</v>
      </c>
      <c r="V42" s="58">
        <v>36.599999999999994</v>
      </c>
      <c r="W42" s="198">
        <f t="shared" si="6"/>
        <v>790.6</v>
      </c>
      <c r="X42" s="163">
        <f t="shared" si="7"/>
        <v>36.60000000000002</v>
      </c>
      <c r="Y42" s="165">
        <f t="shared" si="8"/>
        <v>0</v>
      </c>
    </row>
    <row r="43" spans="1:25" s="165" customFormat="1" ht="15.75" customHeight="1">
      <c r="A43" s="166">
        <v>36</v>
      </c>
      <c r="B43" s="160" t="s">
        <v>39</v>
      </c>
      <c r="C43" s="206">
        <v>17502</v>
      </c>
      <c r="D43" s="35"/>
      <c r="E43" s="35"/>
      <c r="F43" s="207"/>
      <c r="G43" s="202">
        <v>9081</v>
      </c>
      <c r="H43" s="203">
        <f t="shared" si="0"/>
        <v>1.927</v>
      </c>
      <c r="I43" s="204">
        <f t="shared" si="1"/>
        <v>0</v>
      </c>
      <c r="J43" s="204">
        <f t="shared" si="2"/>
        <v>0</v>
      </c>
      <c r="K43" s="204">
        <f t="shared" si="3"/>
        <v>0</v>
      </c>
      <c r="L43" s="208">
        <v>63</v>
      </c>
      <c r="M43" s="208"/>
      <c r="N43" s="208"/>
      <c r="O43" s="202">
        <v>9081</v>
      </c>
      <c r="P43" s="203">
        <v>1.999</v>
      </c>
      <c r="Q43" s="161">
        <f>ROUND((L43)*O43/1000*P43,1)-0.4</f>
        <v>1143.1999999999998</v>
      </c>
      <c r="R43" s="161">
        <f t="shared" si="4"/>
        <v>0</v>
      </c>
      <c r="S43" s="161">
        <f t="shared" si="9"/>
        <v>0</v>
      </c>
      <c r="T43" s="161">
        <f t="shared" si="5"/>
        <v>1143.1999999999998</v>
      </c>
      <c r="U43" s="163">
        <v>1102.5</v>
      </c>
      <c r="V43" s="163">
        <v>40.7</v>
      </c>
      <c r="W43" s="198">
        <f t="shared" si="6"/>
        <v>1143.2</v>
      </c>
      <c r="X43" s="163">
        <f t="shared" si="7"/>
        <v>40.700000000000045</v>
      </c>
      <c r="Y43" s="165">
        <f t="shared" si="8"/>
        <v>0</v>
      </c>
    </row>
    <row r="44" spans="1:25" s="165" customFormat="1" ht="15.75">
      <c r="A44" s="159">
        <v>37</v>
      </c>
      <c r="B44" s="160" t="s">
        <v>40</v>
      </c>
      <c r="C44" s="206">
        <v>57117</v>
      </c>
      <c r="D44" s="35"/>
      <c r="E44" s="35"/>
      <c r="F44" s="207"/>
      <c r="G44" s="202">
        <v>9081</v>
      </c>
      <c r="H44" s="203">
        <f t="shared" si="0"/>
        <v>6.29</v>
      </c>
      <c r="I44" s="204">
        <f t="shared" si="1"/>
        <v>0</v>
      </c>
      <c r="J44" s="204">
        <f t="shared" si="2"/>
        <v>0</v>
      </c>
      <c r="K44" s="204">
        <f t="shared" si="3"/>
        <v>0</v>
      </c>
      <c r="L44" s="208">
        <v>12</v>
      </c>
      <c r="M44" s="208"/>
      <c r="N44" s="208"/>
      <c r="O44" s="202">
        <v>9081</v>
      </c>
      <c r="P44" s="203">
        <v>6.619</v>
      </c>
      <c r="Q44" s="161">
        <f>ROUND((L44)*O44/1000*P44,1)-0.6</f>
        <v>720.6999999999999</v>
      </c>
      <c r="R44" s="161">
        <f t="shared" si="4"/>
        <v>0</v>
      </c>
      <c r="S44" s="161">
        <f t="shared" si="9"/>
        <v>0</v>
      </c>
      <c r="T44" s="161">
        <f t="shared" si="5"/>
        <v>720.6999999999999</v>
      </c>
      <c r="U44" s="163">
        <v>685.4</v>
      </c>
      <c r="V44" s="163">
        <v>35.3</v>
      </c>
      <c r="W44" s="198">
        <f t="shared" si="6"/>
        <v>720.6999999999999</v>
      </c>
      <c r="X44" s="163">
        <f t="shared" si="7"/>
        <v>35.299999999999955</v>
      </c>
      <c r="Y44" s="165">
        <f t="shared" si="8"/>
        <v>0</v>
      </c>
    </row>
    <row r="45" spans="1:25" s="165" customFormat="1" ht="15.75">
      <c r="A45" s="166">
        <v>38</v>
      </c>
      <c r="B45" s="160" t="s">
        <v>23</v>
      </c>
      <c r="C45" s="226">
        <v>18538</v>
      </c>
      <c r="D45" s="226"/>
      <c r="E45" s="226"/>
      <c r="F45" s="226"/>
      <c r="G45" s="202">
        <v>9081</v>
      </c>
      <c r="H45" s="203">
        <f t="shared" si="0"/>
        <v>2.041</v>
      </c>
      <c r="I45" s="204">
        <f t="shared" si="1"/>
        <v>0</v>
      </c>
      <c r="J45" s="204">
        <f t="shared" si="2"/>
        <v>0</v>
      </c>
      <c r="K45" s="204">
        <f t="shared" si="3"/>
        <v>0</v>
      </c>
      <c r="L45" s="226">
        <v>40</v>
      </c>
      <c r="M45" s="226"/>
      <c r="N45" s="226"/>
      <c r="O45" s="202">
        <v>9081</v>
      </c>
      <c r="P45" s="203">
        <v>2.15</v>
      </c>
      <c r="Q45" s="161">
        <f>ROUND((L45)*O45/1000*P45,1)-0.4</f>
        <v>780.6</v>
      </c>
      <c r="R45" s="161">
        <f t="shared" si="4"/>
        <v>0</v>
      </c>
      <c r="S45" s="161">
        <f t="shared" si="9"/>
        <v>0</v>
      </c>
      <c r="T45" s="161">
        <f t="shared" si="5"/>
        <v>780.6</v>
      </c>
      <c r="U45" s="163">
        <v>741.4</v>
      </c>
      <c r="V45" s="163">
        <v>39.2</v>
      </c>
      <c r="W45" s="198">
        <f t="shared" si="6"/>
        <v>780.6</v>
      </c>
      <c r="X45" s="163">
        <f t="shared" si="7"/>
        <v>39.200000000000045</v>
      </c>
      <c r="Y45" s="165">
        <f t="shared" si="8"/>
        <v>0</v>
      </c>
    </row>
    <row r="46" spans="1:25" s="165" customFormat="1" ht="15.75">
      <c r="A46" s="159">
        <v>39</v>
      </c>
      <c r="B46" s="160" t="s">
        <v>41</v>
      </c>
      <c r="C46" s="206">
        <v>34641</v>
      </c>
      <c r="D46" s="35"/>
      <c r="E46" s="35"/>
      <c r="F46" s="207"/>
      <c r="G46" s="202">
        <v>9081</v>
      </c>
      <c r="H46" s="203">
        <f t="shared" si="0"/>
        <v>3.815</v>
      </c>
      <c r="I46" s="204">
        <f t="shared" si="1"/>
        <v>0</v>
      </c>
      <c r="J46" s="204">
        <f t="shared" si="2"/>
        <v>0</v>
      </c>
      <c r="K46" s="204">
        <f t="shared" si="3"/>
        <v>0</v>
      </c>
      <c r="L46" s="208">
        <v>22</v>
      </c>
      <c r="M46" s="208"/>
      <c r="N46" s="208"/>
      <c r="O46" s="202">
        <v>9081</v>
      </c>
      <c r="P46" s="203">
        <v>3.99</v>
      </c>
      <c r="Q46" s="161">
        <f>ROUND((L46)*O46/1000*P46,1)+0.3</f>
        <v>797.4</v>
      </c>
      <c r="R46" s="161">
        <f t="shared" si="4"/>
        <v>0</v>
      </c>
      <c r="S46" s="161">
        <f t="shared" si="9"/>
        <v>0</v>
      </c>
      <c r="T46" s="161">
        <f t="shared" si="5"/>
        <v>797.4</v>
      </c>
      <c r="U46" s="163">
        <v>762.1</v>
      </c>
      <c r="V46" s="163">
        <v>35.3</v>
      </c>
      <c r="W46" s="198">
        <f t="shared" si="6"/>
        <v>797.4</v>
      </c>
      <c r="X46" s="163">
        <f t="shared" si="7"/>
        <v>35.299999999999955</v>
      </c>
      <c r="Y46" s="165">
        <f t="shared" si="8"/>
        <v>0</v>
      </c>
    </row>
    <row r="47" spans="1:25" s="165" customFormat="1" ht="15.75">
      <c r="A47" s="166">
        <v>40</v>
      </c>
      <c r="B47" s="160" t="s">
        <v>42</v>
      </c>
      <c r="C47" s="206">
        <v>92671</v>
      </c>
      <c r="D47" s="35"/>
      <c r="E47" s="35"/>
      <c r="F47" s="207"/>
      <c r="G47" s="202">
        <v>9081</v>
      </c>
      <c r="H47" s="203">
        <f t="shared" si="0"/>
        <v>10.205</v>
      </c>
      <c r="I47" s="204">
        <f t="shared" si="1"/>
        <v>0</v>
      </c>
      <c r="J47" s="204">
        <f t="shared" si="2"/>
        <v>0</v>
      </c>
      <c r="K47" s="204">
        <f t="shared" si="3"/>
        <v>0</v>
      </c>
      <c r="L47" s="208">
        <v>7</v>
      </c>
      <c r="M47" s="208"/>
      <c r="N47" s="208"/>
      <c r="O47" s="202">
        <v>9081</v>
      </c>
      <c r="P47" s="203">
        <v>10.729</v>
      </c>
      <c r="Q47" s="161">
        <f>ROUND((L47)*O47/1000*P47,1)+2</f>
        <v>684</v>
      </c>
      <c r="R47" s="161">
        <f t="shared" si="4"/>
        <v>0</v>
      </c>
      <c r="S47" s="161">
        <f t="shared" si="9"/>
        <v>0</v>
      </c>
      <c r="T47" s="161">
        <f t="shared" si="5"/>
        <v>684</v>
      </c>
      <c r="U47" s="163">
        <v>648.7</v>
      </c>
      <c r="V47" s="163">
        <v>35.3</v>
      </c>
      <c r="W47" s="198">
        <f t="shared" si="6"/>
        <v>684</v>
      </c>
      <c r="X47" s="163">
        <f t="shared" si="7"/>
        <v>35.299999999999955</v>
      </c>
      <c r="Y47" s="165">
        <f t="shared" si="8"/>
        <v>0</v>
      </c>
    </row>
    <row r="48" spans="1:25" s="165" customFormat="1" ht="15.75">
      <c r="A48" s="159">
        <v>41</v>
      </c>
      <c r="B48" s="160" t="s">
        <v>43</v>
      </c>
      <c r="C48" s="206">
        <v>41353</v>
      </c>
      <c r="D48" s="35"/>
      <c r="E48" s="35"/>
      <c r="F48" s="207"/>
      <c r="G48" s="202">
        <v>9081</v>
      </c>
      <c r="H48" s="203">
        <f t="shared" si="0"/>
        <v>4.554</v>
      </c>
      <c r="I48" s="204">
        <f t="shared" si="1"/>
        <v>0</v>
      </c>
      <c r="J48" s="204">
        <f t="shared" si="2"/>
        <v>0</v>
      </c>
      <c r="K48" s="204">
        <f t="shared" si="3"/>
        <v>0</v>
      </c>
      <c r="L48" s="208">
        <v>15</v>
      </c>
      <c r="M48" s="208"/>
      <c r="N48" s="208"/>
      <c r="O48" s="202">
        <v>9081</v>
      </c>
      <c r="P48" s="203">
        <v>4.809</v>
      </c>
      <c r="Q48" s="161">
        <f>ROUND((L48)*O48/1000*P48,1)+0.4</f>
        <v>655.5</v>
      </c>
      <c r="R48" s="161">
        <f t="shared" si="4"/>
        <v>0</v>
      </c>
      <c r="S48" s="161">
        <f t="shared" si="9"/>
        <v>0</v>
      </c>
      <c r="T48" s="161">
        <f t="shared" si="5"/>
        <v>655.5</v>
      </c>
      <c r="U48" s="163">
        <v>620.1999999999999</v>
      </c>
      <c r="V48" s="163">
        <v>35.3</v>
      </c>
      <c r="W48" s="198">
        <f t="shared" si="6"/>
        <v>655.4999999999999</v>
      </c>
      <c r="X48" s="163">
        <f t="shared" si="7"/>
        <v>35.299999999999955</v>
      </c>
      <c r="Y48" s="165">
        <f t="shared" si="8"/>
        <v>0</v>
      </c>
    </row>
    <row r="49" spans="1:25" s="165" customFormat="1" ht="15.75">
      <c r="A49" s="166">
        <v>42</v>
      </c>
      <c r="B49" s="160" t="s">
        <v>24</v>
      </c>
      <c r="C49" s="206"/>
      <c r="D49" s="35"/>
      <c r="E49" s="35"/>
      <c r="F49" s="207"/>
      <c r="G49" s="202">
        <v>9081</v>
      </c>
      <c r="H49" s="203">
        <f t="shared" si="0"/>
        <v>0</v>
      </c>
      <c r="I49" s="204">
        <f t="shared" si="1"/>
        <v>0</v>
      </c>
      <c r="J49" s="204">
        <f t="shared" si="2"/>
        <v>0</v>
      </c>
      <c r="K49" s="204">
        <f t="shared" si="3"/>
        <v>0</v>
      </c>
      <c r="L49" s="208"/>
      <c r="M49" s="208"/>
      <c r="N49" s="208"/>
      <c r="O49" s="202">
        <v>9081</v>
      </c>
      <c r="P49" s="203">
        <v>2</v>
      </c>
      <c r="Q49" s="161">
        <f>ROUND((L49)*O49/1000*P49,1)</f>
        <v>0</v>
      </c>
      <c r="R49" s="161">
        <f t="shared" si="4"/>
        <v>0</v>
      </c>
      <c r="S49" s="161">
        <f t="shared" si="9"/>
        <v>0</v>
      </c>
      <c r="T49" s="161">
        <v>22.8</v>
      </c>
      <c r="U49" s="163">
        <v>0</v>
      </c>
      <c r="V49" s="163">
        <v>22.8</v>
      </c>
      <c r="W49" s="198">
        <f t="shared" si="6"/>
        <v>22.8</v>
      </c>
      <c r="X49" s="163">
        <f t="shared" si="7"/>
        <v>22.8</v>
      </c>
      <c r="Y49" s="165">
        <f t="shared" si="8"/>
        <v>0</v>
      </c>
    </row>
    <row r="50" spans="1:25" s="165" customFormat="1" ht="15.75">
      <c r="A50" s="159">
        <v>43</v>
      </c>
      <c r="B50" s="160" t="s">
        <v>44</v>
      </c>
      <c r="C50" s="206">
        <v>23714</v>
      </c>
      <c r="D50" s="35"/>
      <c r="E50" s="35"/>
      <c r="F50" s="207"/>
      <c r="G50" s="202">
        <v>9081</v>
      </c>
      <c r="H50" s="203">
        <f t="shared" si="0"/>
        <v>2.611</v>
      </c>
      <c r="I50" s="204">
        <f t="shared" si="1"/>
        <v>0</v>
      </c>
      <c r="J50" s="204">
        <f t="shared" si="2"/>
        <v>0</v>
      </c>
      <c r="K50" s="204">
        <f t="shared" si="3"/>
        <v>0</v>
      </c>
      <c r="L50" s="208">
        <v>21</v>
      </c>
      <c r="M50" s="208"/>
      <c r="N50" s="208"/>
      <c r="O50" s="202">
        <v>9081</v>
      </c>
      <c r="P50" s="203">
        <v>2.745</v>
      </c>
      <c r="Q50" s="161">
        <f>ROUND((L50)*O50/1000*P50,1)+0.4</f>
        <v>523.9</v>
      </c>
      <c r="R50" s="161">
        <f t="shared" si="4"/>
        <v>0</v>
      </c>
      <c r="S50" s="161">
        <f t="shared" si="9"/>
        <v>0</v>
      </c>
      <c r="T50" s="161">
        <f t="shared" si="5"/>
        <v>523.9</v>
      </c>
      <c r="U50" s="163">
        <v>498</v>
      </c>
      <c r="V50" s="163">
        <v>25.9</v>
      </c>
      <c r="W50" s="198">
        <f t="shared" si="6"/>
        <v>523.9</v>
      </c>
      <c r="X50" s="163">
        <f t="shared" si="7"/>
        <v>25.899999999999977</v>
      </c>
      <c r="Y50" s="165">
        <f t="shared" si="8"/>
        <v>0</v>
      </c>
    </row>
    <row r="51" spans="1:25" s="165" customFormat="1" ht="34.5" customHeight="1">
      <c r="A51" s="166">
        <v>44</v>
      </c>
      <c r="B51" s="167" t="s">
        <v>45</v>
      </c>
      <c r="C51" s="220">
        <v>34256</v>
      </c>
      <c r="D51" s="36"/>
      <c r="E51" s="35"/>
      <c r="F51" s="207"/>
      <c r="G51" s="202">
        <v>9081</v>
      </c>
      <c r="H51" s="203">
        <f t="shared" si="0"/>
        <v>3.772</v>
      </c>
      <c r="I51" s="204">
        <f t="shared" si="1"/>
        <v>0</v>
      </c>
      <c r="J51" s="204">
        <f t="shared" si="2"/>
        <v>0</v>
      </c>
      <c r="K51" s="204">
        <f t="shared" si="3"/>
        <v>0</v>
      </c>
      <c r="L51" s="226">
        <v>9</v>
      </c>
      <c r="M51" s="208"/>
      <c r="N51" s="208"/>
      <c r="O51" s="202">
        <v>9081</v>
      </c>
      <c r="P51" s="203">
        <v>3.982</v>
      </c>
      <c r="Q51" s="161">
        <f>ROUND((L51)*O51/1000*P51,1)+0.2</f>
        <v>325.59999999999997</v>
      </c>
      <c r="R51" s="161">
        <f t="shared" si="4"/>
        <v>0</v>
      </c>
      <c r="S51" s="161">
        <f t="shared" si="9"/>
        <v>0</v>
      </c>
      <c r="T51" s="161">
        <f t="shared" si="5"/>
        <v>325.59999999999997</v>
      </c>
      <c r="U51" s="163">
        <v>308.2</v>
      </c>
      <c r="V51" s="163">
        <v>17.4</v>
      </c>
      <c r="W51" s="198">
        <f t="shared" si="6"/>
        <v>325.59999999999997</v>
      </c>
      <c r="X51" s="163">
        <f t="shared" si="7"/>
        <v>17.399999999999977</v>
      </c>
      <c r="Y51" s="165">
        <f t="shared" si="8"/>
        <v>0</v>
      </c>
    </row>
    <row r="52" spans="1:25" s="169" customFormat="1" ht="31.5">
      <c r="A52" s="233">
        <v>45</v>
      </c>
      <c r="B52" s="234" t="s">
        <v>46</v>
      </c>
      <c r="C52" s="235">
        <v>26447</v>
      </c>
      <c r="D52" s="236"/>
      <c r="E52" s="236"/>
      <c r="F52" s="237"/>
      <c r="G52" s="238">
        <v>9081</v>
      </c>
      <c r="H52" s="239">
        <f t="shared" si="0"/>
        <v>2.912</v>
      </c>
      <c r="I52" s="240">
        <f t="shared" si="1"/>
        <v>0</v>
      </c>
      <c r="J52" s="240">
        <f t="shared" si="2"/>
        <v>0</v>
      </c>
      <c r="K52" s="240">
        <f t="shared" si="3"/>
        <v>0</v>
      </c>
      <c r="L52" s="241">
        <v>17</v>
      </c>
      <c r="M52" s="242"/>
      <c r="N52" s="242"/>
      <c r="O52" s="238">
        <v>9081</v>
      </c>
      <c r="P52" s="239">
        <v>3.06</v>
      </c>
      <c r="Q52" s="243">
        <f>ROUND((L52)*O52/1000*P52,1)</f>
        <v>472.4</v>
      </c>
      <c r="R52" s="243">
        <f t="shared" si="4"/>
        <v>0</v>
      </c>
      <c r="S52" s="243">
        <f t="shared" si="9"/>
        <v>0</v>
      </c>
      <c r="T52" s="161">
        <f t="shared" si="5"/>
        <v>472.4</v>
      </c>
      <c r="U52" s="163">
        <v>449.6</v>
      </c>
      <c r="V52" s="58">
        <v>22.8</v>
      </c>
      <c r="W52" s="198">
        <f t="shared" si="6"/>
        <v>472.40000000000003</v>
      </c>
      <c r="X52" s="163">
        <f t="shared" si="7"/>
        <v>22.80000000000001</v>
      </c>
      <c r="Y52" s="165">
        <f t="shared" si="8"/>
        <v>0</v>
      </c>
    </row>
    <row r="53" spans="1:25" s="175" customFormat="1" ht="55.5" customHeight="1">
      <c r="A53" s="285"/>
      <c r="B53" s="286" t="s">
        <v>55</v>
      </c>
      <c r="C53" s="286"/>
      <c r="D53" s="287">
        <f>SUM(D8:D52)</f>
        <v>402</v>
      </c>
      <c r="E53" s="287">
        <f>SUM(E8:E52)</f>
        <v>3</v>
      </c>
      <c r="F53" s="287">
        <f>SUM(F8:F52)</f>
        <v>0</v>
      </c>
      <c r="G53" s="287"/>
      <c r="H53" s="288"/>
      <c r="I53" s="289"/>
      <c r="J53" s="289"/>
      <c r="K53" s="289"/>
      <c r="L53" s="287">
        <f>SUM(L8:L52)</f>
        <v>3073</v>
      </c>
      <c r="M53" s="287">
        <f>SUM(M8:M52)</f>
        <v>31</v>
      </c>
      <c r="N53" s="287">
        <f>SUM(N8:N52)</f>
        <v>22</v>
      </c>
      <c r="O53" s="287"/>
      <c r="P53" s="290"/>
      <c r="Q53" s="291">
        <f aca="true" t="shared" si="10" ref="Q53:X53">SUM(Q8:Q52)</f>
        <v>43913.29999999999</v>
      </c>
      <c r="R53" s="291">
        <f t="shared" si="10"/>
        <v>418.4</v>
      </c>
      <c r="S53" s="291">
        <f t="shared" si="10"/>
        <v>327.9</v>
      </c>
      <c r="T53" s="291">
        <f t="shared" si="10"/>
        <v>48873.2</v>
      </c>
      <c r="U53" s="292">
        <f t="shared" si="10"/>
        <v>46990.4</v>
      </c>
      <c r="V53" s="292">
        <f t="shared" si="10"/>
        <v>1882.7999999999997</v>
      </c>
      <c r="W53" s="293">
        <f t="shared" si="10"/>
        <v>48873.2</v>
      </c>
      <c r="X53" s="293">
        <f t="shared" si="10"/>
        <v>1882.8</v>
      </c>
      <c r="Y53" s="175">
        <f>SUM(Y8:Y52)</f>
        <v>0</v>
      </c>
    </row>
    <row r="54" spans="1:20" s="284" customFormat="1" ht="15.75">
      <c r="A54" s="294"/>
      <c r="B54" s="295"/>
      <c r="C54" s="295"/>
      <c r="D54" s="296"/>
      <c r="E54" s="297"/>
      <c r="F54" s="297"/>
      <c r="G54" s="298"/>
      <c r="H54" s="299"/>
      <c r="I54" s="300"/>
      <c r="J54" s="300"/>
      <c r="K54" s="300"/>
      <c r="L54" s="296"/>
      <c r="M54" s="296"/>
      <c r="N54" s="301"/>
      <c r="O54" s="298"/>
      <c r="P54" s="302"/>
      <c r="Q54" s="303"/>
      <c r="R54" s="303"/>
      <c r="S54" s="303"/>
      <c r="T54" s="303"/>
    </row>
    <row r="55" spans="1:20" s="284" customFormat="1" ht="15.75">
      <c r="A55" s="294"/>
      <c r="B55" s="295"/>
      <c r="C55" s="295"/>
      <c r="D55" s="297"/>
      <c r="E55" s="297"/>
      <c r="F55" s="297"/>
      <c r="G55" s="298"/>
      <c r="H55" s="299"/>
      <c r="I55" s="300"/>
      <c r="J55" s="300"/>
      <c r="K55" s="300"/>
      <c r="L55" s="296"/>
      <c r="M55" s="297"/>
      <c r="N55" s="156"/>
      <c r="O55" s="298"/>
      <c r="P55" s="302"/>
      <c r="Q55" s="303"/>
      <c r="R55" s="303"/>
      <c r="S55" s="303"/>
      <c r="T55" s="303"/>
    </row>
    <row r="56" spans="1:20" s="310" customFormat="1" ht="15.75">
      <c r="A56" s="304"/>
      <c r="B56" s="305"/>
      <c r="C56" s="305"/>
      <c r="D56" s="306"/>
      <c r="E56" s="306"/>
      <c r="F56" s="306"/>
      <c r="G56" s="307"/>
      <c r="H56" s="307"/>
      <c r="I56" s="308"/>
      <c r="J56" s="308"/>
      <c r="K56" s="308"/>
      <c r="L56" s="306"/>
      <c r="M56" s="306"/>
      <c r="N56" s="306"/>
      <c r="O56" s="307"/>
      <c r="P56" s="307"/>
      <c r="Q56" s="309"/>
      <c r="R56" s="309"/>
      <c r="S56" s="309"/>
      <c r="T56" s="309"/>
    </row>
    <row r="57" spans="1:16" ht="18" customHeight="1">
      <c r="A57" s="180"/>
      <c r="B57" s="181"/>
      <c r="C57" s="181"/>
      <c r="D57" s="181"/>
      <c r="E57" s="181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</row>
    <row r="58" spans="1:16" ht="15.75">
      <c r="A58" s="183"/>
      <c r="B58" s="184"/>
      <c r="C58" s="184"/>
      <c r="D58" s="184"/>
      <c r="E58" s="184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</row>
    <row r="59" spans="1:16" ht="15.75">
      <c r="A59" s="183"/>
      <c r="B59" s="184"/>
      <c r="C59" s="184"/>
      <c r="D59" s="184"/>
      <c r="E59" s="184"/>
      <c r="F59" s="186"/>
      <c r="G59" s="186"/>
      <c r="H59" s="186"/>
      <c r="I59" s="186"/>
      <c r="J59" s="186"/>
      <c r="K59" s="186"/>
      <c r="L59" s="187"/>
      <c r="M59" s="187"/>
      <c r="N59" s="187"/>
      <c r="O59" s="187"/>
      <c r="P59" s="187"/>
    </row>
    <row r="60" spans="1:22" ht="15.75">
      <c r="A60" s="183"/>
      <c r="B60" s="184"/>
      <c r="C60" s="184"/>
      <c r="D60" s="184"/>
      <c r="E60" s="184"/>
      <c r="F60" s="186"/>
      <c r="G60" s="186"/>
      <c r="H60" s="186"/>
      <c r="I60" s="186"/>
      <c r="J60" s="186"/>
      <c r="K60" s="186"/>
      <c r="L60" s="187"/>
      <c r="M60" s="187"/>
      <c r="N60" s="187"/>
      <c r="O60" s="187"/>
      <c r="P60" s="187"/>
      <c r="V60" s="188"/>
    </row>
    <row r="61" spans="1:16" ht="15.75">
      <c r="A61" s="183"/>
      <c r="B61" s="184"/>
      <c r="C61" s="184"/>
      <c r="D61" s="184"/>
      <c r="E61" s="184"/>
      <c r="F61" s="186"/>
      <c r="G61" s="186"/>
      <c r="H61" s="186"/>
      <c r="I61" s="186"/>
      <c r="J61" s="186"/>
      <c r="K61" s="186"/>
      <c r="L61" s="187"/>
      <c r="M61" s="187"/>
      <c r="N61" s="187"/>
      <c r="O61" s="187"/>
      <c r="P61" s="187"/>
    </row>
    <row r="62" spans="1:21" ht="15.75">
      <c r="A62" s="183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7"/>
      <c r="M62" s="187"/>
      <c r="N62" s="187"/>
      <c r="O62" s="187"/>
      <c r="P62" s="187"/>
      <c r="U62" s="188"/>
    </row>
    <row r="63" spans="1:16" ht="15.75">
      <c r="A63" s="183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7"/>
      <c r="M63" s="187"/>
      <c r="N63" s="187"/>
      <c r="O63" s="187"/>
      <c r="P63" s="187"/>
    </row>
    <row r="64" spans="1:16" ht="16.5" customHeight="1">
      <c r="A64" s="183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7"/>
      <c r="M64" s="187"/>
      <c r="N64" s="187"/>
      <c r="O64" s="187"/>
      <c r="P64" s="187"/>
    </row>
    <row r="65" spans="1:16" ht="15.75">
      <c r="A65" s="183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7"/>
      <c r="M65" s="187"/>
      <c r="N65" s="187"/>
      <c r="O65" s="187"/>
      <c r="P65" s="187"/>
    </row>
    <row r="66" spans="1:16" ht="15.75">
      <c r="A66" s="183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7"/>
      <c r="M66" s="187"/>
      <c r="N66" s="187"/>
      <c r="O66" s="187"/>
      <c r="P66" s="187"/>
    </row>
    <row r="67" spans="1:16" ht="15.75">
      <c r="A67" s="183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7"/>
      <c r="M67" s="187"/>
      <c r="N67" s="187"/>
      <c r="O67" s="187"/>
      <c r="P67" s="187"/>
    </row>
    <row r="68" spans="1:16" ht="15.75">
      <c r="A68" s="183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7"/>
      <c r="M68" s="187"/>
      <c r="N68" s="187"/>
      <c r="O68" s="187"/>
      <c r="P68" s="187"/>
    </row>
    <row r="69" spans="1:16" ht="15.75">
      <c r="A69" s="183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7"/>
      <c r="M69" s="187"/>
      <c r="N69" s="187"/>
      <c r="O69" s="187"/>
      <c r="P69" s="187"/>
    </row>
    <row r="70" spans="1:16" ht="15.75">
      <c r="A70" s="183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1"/>
      <c r="M70" s="191"/>
      <c r="N70" s="191"/>
      <c r="O70" s="191"/>
      <c r="P70" s="191"/>
    </row>
    <row r="71" spans="1:16" s="192" customFormat="1" ht="16.5" customHeight="1">
      <c r="A71" s="378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</row>
    <row r="72" spans="1:16" ht="15.75">
      <c r="A72" s="183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7"/>
      <c r="M72" s="187"/>
      <c r="N72" s="187"/>
      <c r="O72" s="187"/>
      <c r="P72" s="187"/>
    </row>
    <row r="73" spans="1:16" ht="15.75">
      <c r="A73" s="183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7"/>
      <c r="M73" s="187"/>
      <c r="N73" s="187"/>
      <c r="O73" s="187"/>
      <c r="P73" s="187"/>
    </row>
    <row r="74" spans="1:16" ht="15.75">
      <c r="A74" s="183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7"/>
      <c r="M74" s="187"/>
      <c r="N74" s="187"/>
      <c r="O74" s="187"/>
      <c r="P74" s="187"/>
    </row>
    <row r="75" spans="1:16" ht="15.75">
      <c r="A75" s="183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7"/>
      <c r="M75" s="187"/>
      <c r="N75" s="187"/>
      <c r="O75" s="187"/>
      <c r="P75" s="187"/>
    </row>
    <row r="76" spans="1:16" ht="18" customHeight="1">
      <c r="A76" s="183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7"/>
      <c r="M76" s="187"/>
      <c r="N76" s="187"/>
      <c r="O76" s="187"/>
      <c r="P76" s="187"/>
    </row>
    <row r="77" spans="1:16" ht="15.75">
      <c r="A77" s="183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7"/>
      <c r="M77" s="187"/>
      <c r="N77" s="187"/>
      <c r="O77" s="187"/>
      <c r="P77" s="187"/>
    </row>
    <row r="78" spans="1:16" ht="15.75">
      <c r="A78" s="183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7"/>
      <c r="M78" s="187"/>
      <c r="N78" s="187"/>
      <c r="O78" s="187"/>
      <c r="P78" s="187"/>
    </row>
    <row r="79" spans="1:16" ht="15.75">
      <c r="A79" s="183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7"/>
      <c r="M79" s="187"/>
      <c r="N79" s="187"/>
      <c r="O79" s="187"/>
      <c r="P79" s="187"/>
    </row>
    <row r="80" spans="1:16" ht="15.75">
      <c r="A80" s="183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7"/>
      <c r="M80" s="187"/>
      <c r="N80" s="187"/>
      <c r="O80" s="187"/>
      <c r="P80" s="187"/>
    </row>
    <row r="81" spans="1:16" ht="15.75">
      <c r="A81" s="183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7"/>
      <c r="M81" s="187"/>
      <c r="N81" s="187"/>
      <c r="O81" s="187"/>
      <c r="P81" s="187"/>
    </row>
    <row r="82" spans="1:16" ht="15.75">
      <c r="A82" s="183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7"/>
      <c r="M82" s="187"/>
      <c r="N82" s="187"/>
      <c r="O82" s="187"/>
      <c r="P82" s="187"/>
    </row>
    <row r="83" spans="1:16" ht="15.75">
      <c r="A83" s="183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7"/>
      <c r="M83" s="187"/>
      <c r="N83" s="187"/>
      <c r="O83" s="187"/>
      <c r="P83" s="187"/>
    </row>
    <row r="84" spans="1:16" ht="15.75">
      <c r="A84" s="183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7"/>
      <c r="M84" s="187"/>
      <c r="N84" s="187"/>
      <c r="O84" s="187"/>
      <c r="P84" s="187"/>
    </row>
    <row r="85" spans="1:16" ht="15.75">
      <c r="A85" s="183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7"/>
      <c r="M85" s="187"/>
      <c r="N85" s="187"/>
      <c r="O85" s="187"/>
      <c r="P85" s="187"/>
    </row>
    <row r="86" spans="1:16" ht="15.75">
      <c r="A86" s="183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7"/>
      <c r="M86" s="187"/>
      <c r="N86" s="187"/>
      <c r="O86" s="187"/>
      <c r="P86" s="187"/>
    </row>
    <row r="87" spans="1:16" ht="15.75">
      <c r="A87" s="183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7"/>
      <c r="M87" s="187"/>
      <c r="N87" s="187"/>
      <c r="O87" s="187"/>
      <c r="P87" s="187"/>
    </row>
    <row r="88" spans="1:16" ht="15.75">
      <c r="A88" s="183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7"/>
      <c r="M88" s="187"/>
      <c r="N88" s="187"/>
      <c r="O88" s="187"/>
      <c r="P88" s="187"/>
    </row>
    <row r="89" spans="1:16" ht="15.75">
      <c r="A89" s="183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7"/>
      <c r="M89" s="187"/>
      <c r="N89" s="187"/>
      <c r="O89" s="187"/>
      <c r="P89" s="187"/>
    </row>
    <row r="90" spans="1:16" ht="15.75">
      <c r="A90" s="183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7"/>
      <c r="M90" s="187"/>
      <c r="N90" s="187"/>
      <c r="O90" s="187"/>
      <c r="P90" s="187"/>
    </row>
    <row r="91" spans="1:16" ht="15.75">
      <c r="A91" s="183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7"/>
      <c r="M91" s="187"/>
      <c r="N91" s="187"/>
      <c r="O91" s="187"/>
      <c r="P91" s="187"/>
    </row>
    <row r="92" spans="1:16" ht="15.75">
      <c r="A92" s="183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7"/>
      <c r="M92" s="187"/>
      <c r="N92" s="187"/>
      <c r="O92" s="187"/>
      <c r="P92" s="187"/>
    </row>
    <row r="93" spans="1:16" ht="15.75">
      <c r="A93" s="183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7"/>
      <c r="M93" s="187"/>
      <c r="N93" s="187"/>
      <c r="O93" s="187"/>
      <c r="P93" s="187"/>
    </row>
    <row r="94" spans="1:16" ht="15.75">
      <c r="A94" s="183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7"/>
      <c r="M94" s="187"/>
      <c r="N94" s="187"/>
      <c r="O94" s="187"/>
      <c r="P94" s="187"/>
    </row>
    <row r="95" spans="1:16" ht="15.75">
      <c r="A95" s="183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7"/>
      <c r="M95" s="187"/>
      <c r="N95" s="187"/>
      <c r="O95" s="187"/>
      <c r="P95" s="187"/>
    </row>
    <row r="96" spans="1:16" ht="15.75">
      <c r="A96" s="183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7"/>
      <c r="M96" s="187"/>
      <c r="N96" s="187"/>
      <c r="O96" s="187"/>
      <c r="P96" s="187"/>
    </row>
    <row r="97" spans="1:16" ht="15.75">
      <c r="A97" s="183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7"/>
      <c r="M97" s="187"/>
      <c r="N97" s="187"/>
      <c r="O97" s="187"/>
      <c r="P97" s="187"/>
    </row>
    <row r="98" spans="1:16" ht="15.75">
      <c r="A98" s="183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7"/>
      <c r="M98" s="187"/>
      <c r="N98" s="187"/>
      <c r="O98" s="187"/>
      <c r="P98" s="187"/>
    </row>
    <row r="99" spans="1:16" ht="15.75">
      <c r="A99" s="183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7"/>
      <c r="M99" s="187"/>
      <c r="N99" s="187"/>
      <c r="O99" s="187"/>
      <c r="P99" s="187"/>
    </row>
    <row r="100" spans="1:16" ht="15.75">
      <c r="A100" s="183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7"/>
      <c r="M100" s="187"/>
      <c r="N100" s="187"/>
      <c r="O100" s="187"/>
      <c r="P100" s="187"/>
    </row>
    <row r="101" spans="1:16" ht="15.75">
      <c r="A101" s="183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7"/>
      <c r="M101" s="187"/>
      <c r="N101" s="187"/>
      <c r="O101" s="187"/>
      <c r="P101" s="187"/>
    </row>
    <row r="102" spans="1:16" ht="15.75">
      <c r="A102" s="183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7"/>
      <c r="M102" s="187"/>
      <c r="N102" s="187"/>
      <c r="O102" s="187"/>
      <c r="P102" s="187"/>
    </row>
    <row r="103" spans="1:16" ht="15.75">
      <c r="A103" s="183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7"/>
      <c r="M103" s="187"/>
      <c r="N103" s="187"/>
      <c r="O103" s="187"/>
      <c r="P103" s="187"/>
    </row>
    <row r="104" spans="1:16" ht="15.75">
      <c r="A104" s="183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7"/>
      <c r="M104" s="187"/>
      <c r="N104" s="187"/>
      <c r="O104" s="187"/>
      <c r="P104" s="187"/>
    </row>
    <row r="105" spans="1:16" ht="15.75">
      <c r="A105" s="183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7"/>
      <c r="M105" s="187"/>
      <c r="N105" s="187"/>
      <c r="O105" s="187"/>
      <c r="P105" s="187"/>
    </row>
    <row r="106" spans="1:16" ht="15.75">
      <c r="A106" s="183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7"/>
      <c r="M106" s="187"/>
      <c r="N106" s="187"/>
      <c r="O106" s="187"/>
      <c r="P106" s="187"/>
    </row>
    <row r="107" spans="1:16" ht="15.75">
      <c r="A107" s="183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7"/>
      <c r="M107" s="187"/>
      <c r="N107" s="187"/>
      <c r="O107" s="187"/>
      <c r="P107" s="187"/>
    </row>
    <row r="108" spans="1:16" ht="15.75">
      <c r="A108" s="183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7"/>
      <c r="M108" s="187"/>
      <c r="N108" s="187"/>
      <c r="O108" s="187"/>
      <c r="P108" s="187"/>
    </row>
    <row r="109" spans="1:16" ht="15.75">
      <c r="A109" s="183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7"/>
      <c r="M109" s="187"/>
      <c r="N109" s="187"/>
      <c r="O109" s="187"/>
      <c r="P109" s="187"/>
    </row>
    <row r="110" spans="1:16" ht="15.75">
      <c r="A110" s="183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7"/>
      <c r="M110" s="187"/>
      <c r="N110" s="187"/>
      <c r="O110" s="187"/>
      <c r="P110" s="187"/>
    </row>
    <row r="111" spans="1:16" ht="15.75">
      <c r="A111" s="183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7"/>
      <c r="M111" s="187"/>
      <c r="N111" s="187"/>
      <c r="O111" s="187"/>
      <c r="P111" s="187"/>
    </row>
    <row r="112" spans="1:16" ht="15.75">
      <c r="A112" s="183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7"/>
      <c r="M112" s="187"/>
      <c r="N112" s="187"/>
      <c r="O112" s="187"/>
      <c r="P112" s="187"/>
    </row>
    <row r="113" spans="1:16" ht="15.75">
      <c r="A113" s="183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7"/>
      <c r="M113" s="187"/>
      <c r="N113" s="187"/>
      <c r="O113" s="187"/>
      <c r="P113" s="187"/>
    </row>
    <row r="114" spans="1:16" ht="15.75">
      <c r="A114" s="183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7"/>
      <c r="M114" s="187"/>
      <c r="N114" s="187"/>
      <c r="O114" s="187"/>
      <c r="P114" s="187"/>
    </row>
    <row r="115" spans="1:16" ht="15.75">
      <c r="A115" s="183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7"/>
      <c r="M115" s="187"/>
      <c r="N115" s="187"/>
      <c r="O115" s="187"/>
      <c r="P115" s="187"/>
    </row>
    <row r="116" spans="1:16" ht="15.75">
      <c r="A116" s="193"/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1"/>
      <c r="M116" s="191"/>
      <c r="N116" s="191"/>
      <c r="O116" s="191"/>
      <c r="P116" s="191"/>
    </row>
    <row r="117" spans="1:16" ht="15.75">
      <c r="A117" s="194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5"/>
      <c r="M117" s="195"/>
      <c r="N117" s="195"/>
      <c r="O117" s="195"/>
      <c r="P117" s="195"/>
    </row>
    <row r="118" spans="1:16" ht="15.75">
      <c r="A118" s="193"/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87"/>
      <c r="M118" s="187"/>
      <c r="N118" s="187"/>
      <c r="O118" s="187"/>
      <c r="P118" s="187"/>
    </row>
  </sheetData>
  <sheetProtection/>
  <mergeCells count="28">
    <mergeCell ref="A71:P71"/>
    <mergeCell ref="O5:O6"/>
    <mergeCell ref="P5:P6"/>
    <mergeCell ref="Q5:Q6"/>
    <mergeCell ref="R5:R6"/>
    <mergeCell ref="S5:S6"/>
    <mergeCell ref="G5:G6"/>
    <mergeCell ref="L5:N5"/>
    <mergeCell ref="T5:T6"/>
    <mergeCell ref="U3:U6"/>
    <mergeCell ref="V3:V6"/>
    <mergeCell ref="W3:W6"/>
    <mergeCell ref="X3:X6"/>
    <mergeCell ref="C4:H4"/>
    <mergeCell ref="I4:O4"/>
    <mergeCell ref="P4:T4"/>
    <mergeCell ref="C5:C6"/>
    <mergeCell ref="D5:F5"/>
    <mergeCell ref="F1:G1"/>
    <mergeCell ref="A3:A6"/>
    <mergeCell ref="B3:B6"/>
    <mergeCell ref="C3:H3"/>
    <mergeCell ref="I3:O3"/>
    <mergeCell ref="P3:T3"/>
    <mergeCell ref="H5:H6"/>
    <mergeCell ref="I5:I6"/>
    <mergeCell ref="J5:J6"/>
    <mergeCell ref="K5:K6"/>
  </mergeCells>
  <printOptions horizontalCentered="1"/>
  <pageMargins left="0" right="0" top="0.5905511811023623" bottom="0" header="0" footer="0"/>
  <pageSetup horizontalDpi="600" verticalDpi="600" orientation="portrait" paperSize="9" scale="60" r:id="rId1"/>
  <colBreaks count="2" manualBreakCount="2">
    <brk id="7" max="52" man="1"/>
    <brk id="12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118"/>
  <sheetViews>
    <sheetView tabSelected="1" view="pageBreakPreview" zoomScale="70" zoomScaleNormal="71" zoomScaleSheetLayoutView="70" zoomScalePageLayoutView="0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53" sqref="U53"/>
    </sheetView>
  </sheetViews>
  <sheetFormatPr defaultColWidth="9.140625" defaultRowHeight="12.75"/>
  <cols>
    <col min="1" max="1" width="9.00390625" style="196" customWidth="1"/>
    <col min="2" max="3" width="30.8515625" style="196" customWidth="1"/>
    <col min="4" max="4" width="24.00390625" style="196" customWidth="1"/>
    <col min="5" max="5" width="18.28125" style="196" customWidth="1"/>
    <col min="6" max="6" width="28.421875" style="196" customWidth="1"/>
    <col min="7" max="7" width="20.00390625" style="196" customWidth="1"/>
    <col min="8" max="8" width="24.421875" style="197" customWidth="1"/>
    <col min="9" max="9" width="17.140625" style="197" customWidth="1"/>
    <col min="10" max="10" width="22.8515625" style="197" customWidth="1"/>
    <col min="11" max="11" width="21.421875" style="152" customWidth="1"/>
    <col min="12" max="15" width="20.421875" style="152" customWidth="1"/>
    <col min="16" max="16" width="19.140625" style="152" customWidth="1"/>
    <col min="17" max="17" width="14.57421875" style="152" hidden="1" customWidth="1"/>
    <col min="18" max="18" width="14.8515625" style="152" hidden="1" customWidth="1"/>
    <col min="19" max="19" width="20.140625" style="152" hidden="1" customWidth="1"/>
    <col min="20" max="20" width="21.421875" style="152" hidden="1" customWidth="1"/>
    <col min="21" max="21" width="10.8515625" style="152" bestFit="1" customWidth="1"/>
    <col min="22" max="16384" width="9.140625" style="152" customWidth="1"/>
  </cols>
  <sheetData>
    <row r="1" spans="1:10" ht="15.75">
      <c r="A1" s="199"/>
      <c r="B1" s="199"/>
      <c r="C1" s="199"/>
      <c r="D1" s="199"/>
      <c r="E1" s="365" t="s">
        <v>108</v>
      </c>
      <c r="F1" s="365"/>
      <c r="G1" s="199"/>
      <c r="H1" s="199"/>
      <c r="I1" s="199"/>
      <c r="J1" s="199"/>
    </row>
    <row r="2" spans="1:10" ht="18.75">
      <c r="A2" s="153"/>
      <c r="B2" s="153"/>
      <c r="C2" s="153"/>
      <c r="D2" s="153"/>
      <c r="E2" s="153"/>
      <c r="F2" s="153"/>
      <c r="G2" s="154"/>
      <c r="H2" s="155"/>
      <c r="I2" s="155"/>
      <c r="J2" s="155"/>
    </row>
    <row r="3" spans="1:23" ht="43.5" customHeight="1">
      <c r="A3" s="366" t="s">
        <v>88</v>
      </c>
      <c r="B3" s="369" t="s">
        <v>54</v>
      </c>
      <c r="C3" s="322" t="s">
        <v>118</v>
      </c>
      <c r="D3" s="323"/>
      <c r="E3" s="323"/>
      <c r="F3" s="357"/>
      <c r="G3" s="322" t="s">
        <v>118</v>
      </c>
      <c r="H3" s="323"/>
      <c r="I3" s="323"/>
      <c r="J3" s="323"/>
      <c r="K3" s="323"/>
      <c r="L3" s="323"/>
      <c r="M3" s="323" t="s">
        <v>80</v>
      </c>
      <c r="N3" s="323"/>
      <c r="O3" s="323"/>
      <c r="P3" s="357"/>
      <c r="Q3" s="372"/>
      <c r="R3" s="372"/>
      <c r="S3" s="345"/>
      <c r="T3" s="345"/>
      <c r="U3" s="156"/>
      <c r="V3" s="156"/>
      <c r="W3" s="156"/>
    </row>
    <row r="4" spans="1:23" ht="49.5" customHeight="1">
      <c r="A4" s="367"/>
      <c r="B4" s="370"/>
      <c r="C4" s="268"/>
      <c r="D4" s="322" t="s">
        <v>113</v>
      </c>
      <c r="E4" s="323"/>
      <c r="F4" s="323"/>
      <c r="G4" s="323" t="s">
        <v>113</v>
      </c>
      <c r="H4" s="323"/>
      <c r="I4" s="323"/>
      <c r="J4" s="323"/>
      <c r="K4" s="323"/>
      <c r="L4" s="323"/>
      <c r="M4" s="323" t="s">
        <v>117</v>
      </c>
      <c r="N4" s="323"/>
      <c r="O4" s="357"/>
      <c r="P4" s="311" t="s">
        <v>112</v>
      </c>
      <c r="Q4" s="373"/>
      <c r="R4" s="373"/>
      <c r="S4" s="346"/>
      <c r="T4" s="346"/>
      <c r="U4" s="156"/>
      <c r="V4" s="156"/>
      <c r="W4" s="156"/>
    </row>
    <row r="5" spans="1:23" ht="39" customHeight="1">
      <c r="A5" s="367"/>
      <c r="B5" s="370"/>
      <c r="C5" s="311" t="s">
        <v>95</v>
      </c>
      <c r="D5" s="150" t="s">
        <v>96</v>
      </c>
      <c r="E5" s="374" t="s">
        <v>115</v>
      </c>
      <c r="F5" s="362" t="s">
        <v>98</v>
      </c>
      <c r="G5" s="311" t="s">
        <v>116</v>
      </c>
      <c r="H5" s="150" t="s">
        <v>96</v>
      </c>
      <c r="I5" s="374" t="s">
        <v>115</v>
      </c>
      <c r="J5" s="362" t="s">
        <v>98</v>
      </c>
      <c r="K5" s="311" t="s">
        <v>120</v>
      </c>
      <c r="L5" s="150" t="s">
        <v>96</v>
      </c>
      <c r="M5" s="374" t="s">
        <v>115</v>
      </c>
      <c r="N5" s="362" t="s">
        <v>98</v>
      </c>
      <c r="O5" s="311" t="s">
        <v>121</v>
      </c>
      <c r="P5" s="311"/>
      <c r="Q5" s="373"/>
      <c r="R5" s="373"/>
      <c r="S5" s="346"/>
      <c r="T5" s="346"/>
      <c r="U5" s="156"/>
      <c r="V5" s="156"/>
      <c r="W5" s="156"/>
    </row>
    <row r="6" spans="1:20" ht="150" customHeight="1">
      <c r="A6" s="368"/>
      <c r="B6" s="371"/>
      <c r="C6" s="311"/>
      <c r="D6" s="148" t="s">
        <v>114</v>
      </c>
      <c r="E6" s="311"/>
      <c r="F6" s="315"/>
      <c r="G6" s="311"/>
      <c r="H6" s="148" t="s">
        <v>119</v>
      </c>
      <c r="I6" s="311"/>
      <c r="J6" s="315"/>
      <c r="K6" s="311"/>
      <c r="L6" s="148" t="s">
        <v>102</v>
      </c>
      <c r="M6" s="311"/>
      <c r="N6" s="315"/>
      <c r="O6" s="311"/>
      <c r="P6" s="311"/>
      <c r="Q6" s="374"/>
      <c r="R6" s="374"/>
      <c r="S6" s="347"/>
      <c r="T6" s="347"/>
    </row>
    <row r="7" spans="1:20" s="158" customFormat="1" ht="17.25" customHeight="1">
      <c r="A7" s="157">
        <v>1</v>
      </c>
      <c r="B7" s="157">
        <v>2</v>
      </c>
      <c r="C7" s="157">
        <v>3</v>
      </c>
      <c r="D7" s="157">
        <v>4</v>
      </c>
      <c r="E7" s="157">
        <v>7</v>
      </c>
      <c r="F7" s="157">
        <v>8</v>
      </c>
      <c r="G7" s="157">
        <v>9</v>
      </c>
      <c r="H7" s="157">
        <v>12</v>
      </c>
      <c r="I7" s="157">
        <v>15</v>
      </c>
      <c r="J7" s="157">
        <v>16</v>
      </c>
      <c r="K7" s="157">
        <v>17</v>
      </c>
      <c r="L7" s="157"/>
      <c r="M7" s="157"/>
      <c r="N7" s="157"/>
      <c r="O7" s="157"/>
      <c r="P7" s="157">
        <v>20</v>
      </c>
      <c r="Q7" s="157"/>
      <c r="R7" s="157"/>
      <c r="S7" s="157"/>
      <c r="T7" s="157"/>
    </row>
    <row r="8" spans="1:20" s="165" customFormat="1" ht="15.75">
      <c r="A8" s="159">
        <v>1</v>
      </c>
      <c r="B8" s="160" t="s">
        <v>2</v>
      </c>
      <c r="C8" s="200">
        <v>10941</v>
      </c>
      <c r="D8" s="37"/>
      <c r="E8" s="202">
        <v>9081</v>
      </c>
      <c r="F8" s="203">
        <f aca="true" t="shared" si="0" ref="F8:F48">ROUND(C8/E8,3)</f>
        <v>1.205</v>
      </c>
      <c r="G8" s="204">
        <f aca="true" t="shared" si="1" ref="G8:G52">ROUND((D8)*E8*F8/1000,1)</f>
        <v>0</v>
      </c>
      <c r="H8" s="205">
        <v>103</v>
      </c>
      <c r="I8" s="202">
        <v>9081</v>
      </c>
      <c r="J8" s="203">
        <v>1.248</v>
      </c>
      <c r="K8" s="161">
        <f>ROUND((H8)*I8/1000*J8,1)-0.3</f>
        <v>1167</v>
      </c>
      <c r="L8" s="269"/>
      <c r="M8" s="270">
        <v>9081</v>
      </c>
      <c r="N8" s="271">
        <v>1.248</v>
      </c>
      <c r="O8" s="161">
        <f>ROUND((L8)*M8/1000*N8,1)</f>
        <v>0</v>
      </c>
      <c r="P8" s="161">
        <f>G8+K8+O8</f>
        <v>1167</v>
      </c>
      <c r="Q8" s="163">
        <f>'Общехоз.'!T8-'Общехоз.  на образование'!P8</f>
        <v>0</v>
      </c>
      <c r="R8" s="163"/>
      <c r="S8" s="198"/>
      <c r="T8" s="163"/>
    </row>
    <row r="9" spans="1:20" s="165" customFormat="1" ht="15.75">
      <c r="A9" s="166">
        <v>2</v>
      </c>
      <c r="B9" s="160" t="s">
        <v>3</v>
      </c>
      <c r="C9" s="206">
        <v>10397</v>
      </c>
      <c r="D9" s="35">
        <v>25</v>
      </c>
      <c r="E9" s="202">
        <v>9081</v>
      </c>
      <c r="F9" s="203">
        <f t="shared" si="0"/>
        <v>1.145</v>
      </c>
      <c r="G9" s="204">
        <f t="shared" si="1"/>
        <v>259.9</v>
      </c>
      <c r="H9" s="208">
        <v>104</v>
      </c>
      <c r="I9" s="202">
        <v>9081</v>
      </c>
      <c r="J9" s="203">
        <v>1.188</v>
      </c>
      <c r="K9" s="161">
        <f>ROUND((H9)*I9/1000*J9,1)</f>
        <v>1122</v>
      </c>
      <c r="L9" s="269"/>
      <c r="M9" s="270">
        <v>9081</v>
      </c>
      <c r="N9" s="271">
        <v>1.188</v>
      </c>
      <c r="O9" s="161">
        <f>ROUND((L9)*M9/1000*N9,1)</f>
        <v>0</v>
      </c>
      <c r="P9" s="161">
        <f aca="true" t="shared" si="2" ref="P9:P52">G9+K9+O9</f>
        <v>1381.9</v>
      </c>
      <c r="Q9" s="163">
        <f>'Общехоз.'!T9-'Общехоз.  на образование'!P9</f>
        <v>0</v>
      </c>
      <c r="R9" s="163"/>
      <c r="S9" s="198"/>
      <c r="T9" s="163"/>
    </row>
    <row r="10" spans="1:20" s="165" customFormat="1" ht="15.75">
      <c r="A10" s="159">
        <v>3</v>
      </c>
      <c r="B10" s="160" t="s">
        <v>4</v>
      </c>
      <c r="C10" s="206">
        <v>10713</v>
      </c>
      <c r="D10" s="35">
        <v>20</v>
      </c>
      <c r="E10" s="202">
        <v>9081</v>
      </c>
      <c r="F10" s="203">
        <f t="shared" si="0"/>
        <v>1.18</v>
      </c>
      <c r="G10" s="204">
        <f t="shared" si="1"/>
        <v>214.3</v>
      </c>
      <c r="H10" s="208">
        <v>122</v>
      </c>
      <c r="I10" s="202">
        <v>9081</v>
      </c>
      <c r="J10" s="203">
        <v>1.225</v>
      </c>
      <c r="K10" s="161">
        <f>ROUND((H10)*I10/1000*J10,1)+0.6</f>
        <v>1357.8</v>
      </c>
      <c r="L10" s="269"/>
      <c r="M10" s="270">
        <v>9081</v>
      </c>
      <c r="N10" s="271">
        <v>1.225</v>
      </c>
      <c r="O10" s="161">
        <f aca="true" t="shared" si="3" ref="O10:O52">ROUND((L10)*M10/1000*N10,1)</f>
        <v>0</v>
      </c>
      <c r="P10" s="161">
        <f t="shared" si="2"/>
        <v>1572.1</v>
      </c>
      <c r="Q10" s="163">
        <f>'Общехоз.'!T10-'Общехоз.  на образование'!P10</f>
        <v>0</v>
      </c>
      <c r="R10" s="163"/>
      <c r="S10" s="198"/>
      <c r="T10" s="163"/>
    </row>
    <row r="11" spans="1:20" s="165" customFormat="1" ht="15.75">
      <c r="A11" s="166">
        <v>4</v>
      </c>
      <c r="B11" s="160" t="s">
        <v>5</v>
      </c>
      <c r="C11" s="206">
        <v>9534</v>
      </c>
      <c r="D11" s="35">
        <v>45</v>
      </c>
      <c r="E11" s="202">
        <v>9081</v>
      </c>
      <c r="F11" s="203">
        <f t="shared" si="0"/>
        <v>1.05</v>
      </c>
      <c r="G11" s="204">
        <f t="shared" si="1"/>
        <v>429.1</v>
      </c>
      <c r="H11" s="208">
        <v>155</v>
      </c>
      <c r="I11" s="202">
        <v>9081</v>
      </c>
      <c r="J11" s="203">
        <v>1.091</v>
      </c>
      <c r="K11" s="161">
        <f>ROUND((H11)*I11/1000*J11,1)+1</f>
        <v>1536.6</v>
      </c>
      <c r="L11" s="269">
        <v>43</v>
      </c>
      <c r="M11" s="270">
        <v>9081</v>
      </c>
      <c r="N11" s="271">
        <v>1.091</v>
      </c>
      <c r="O11" s="161">
        <f t="shared" si="3"/>
        <v>426</v>
      </c>
      <c r="P11" s="161">
        <f t="shared" si="2"/>
        <v>2391.7</v>
      </c>
      <c r="Q11" s="163">
        <f>'Общехоз.'!T11-'Общехоз.  на образование'!P11</f>
        <v>0</v>
      </c>
      <c r="R11" s="163"/>
      <c r="S11" s="198"/>
      <c r="T11" s="163"/>
    </row>
    <row r="12" spans="1:20" s="165" customFormat="1" ht="15.75">
      <c r="A12" s="159">
        <v>5</v>
      </c>
      <c r="B12" s="160" t="s">
        <v>6</v>
      </c>
      <c r="C12" s="206">
        <v>8271</v>
      </c>
      <c r="D12" s="35">
        <v>75</v>
      </c>
      <c r="E12" s="202">
        <v>9081</v>
      </c>
      <c r="F12" s="203">
        <f t="shared" si="0"/>
        <v>0.911</v>
      </c>
      <c r="G12" s="204">
        <f t="shared" si="1"/>
        <v>620.5</v>
      </c>
      <c r="H12" s="208">
        <v>173</v>
      </c>
      <c r="I12" s="202">
        <v>9081</v>
      </c>
      <c r="J12" s="203">
        <v>0.958</v>
      </c>
      <c r="K12" s="161">
        <f>ROUND((H12)*I12/1000*J12,1)-0.5</f>
        <v>1504.5</v>
      </c>
      <c r="L12" s="269">
        <v>28</v>
      </c>
      <c r="M12" s="270">
        <v>9081</v>
      </c>
      <c r="N12" s="271">
        <v>0.958</v>
      </c>
      <c r="O12" s="161">
        <f t="shared" si="3"/>
        <v>243.6</v>
      </c>
      <c r="P12" s="161">
        <f t="shared" si="2"/>
        <v>2368.6</v>
      </c>
      <c r="Q12" s="163">
        <f>'Общехоз.'!T12-'Общехоз.  на образование'!P12</f>
        <v>0</v>
      </c>
      <c r="R12" s="163"/>
      <c r="S12" s="198"/>
      <c r="T12" s="163"/>
    </row>
    <row r="13" spans="1:20" s="165" customFormat="1" ht="15.75">
      <c r="A13" s="166">
        <v>6</v>
      </c>
      <c r="B13" s="160" t="s">
        <v>7</v>
      </c>
      <c r="C13" s="206">
        <v>9138</v>
      </c>
      <c r="D13" s="35"/>
      <c r="E13" s="202">
        <v>9081</v>
      </c>
      <c r="F13" s="203">
        <f t="shared" si="0"/>
        <v>1.006</v>
      </c>
      <c r="G13" s="204">
        <f t="shared" si="1"/>
        <v>0</v>
      </c>
      <c r="H13" s="208">
        <v>160</v>
      </c>
      <c r="I13" s="202">
        <v>9081</v>
      </c>
      <c r="J13" s="203">
        <v>1.04</v>
      </c>
      <c r="K13" s="161">
        <f>ROUND((H13)*I13/1000*J13,1)+0.6</f>
        <v>1511.6999999999998</v>
      </c>
      <c r="L13" s="269"/>
      <c r="M13" s="270">
        <v>9081</v>
      </c>
      <c r="N13" s="271">
        <v>1.04</v>
      </c>
      <c r="O13" s="161">
        <f t="shared" si="3"/>
        <v>0</v>
      </c>
      <c r="P13" s="161">
        <f t="shared" si="2"/>
        <v>1511.6999999999998</v>
      </c>
      <c r="Q13" s="163">
        <f>'Общехоз.'!T13-'Общехоз.  на образование'!P13</f>
        <v>0</v>
      </c>
      <c r="R13" s="164"/>
      <c r="S13" s="198"/>
      <c r="T13" s="163"/>
    </row>
    <row r="14" spans="1:20" s="165" customFormat="1" ht="15.75">
      <c r="A14" s="159">
        <v>7</v>
      </c>
      <c r="B14" s="160" t="s">
        <v>8</v>
      </c>
      <c r="C14" s="210">
        <v>8790</v>
      </c>
      <c r="D14" s="211">
        <v>25</v>
      </c>
      <c r="E14" s="202">
        <v>9081</v>
      </c>
      <c r="F14" s="203">
        <f t="shared" si="0"/>
        <v>0.968</v>
      </c>
      <c r="G14" s="204">
        <f t="shared" si="1"/>
        <v>219.8</v>
      </c>
      <c r="H14" s="208">
        <v>190</v>
      </c>
      <c r="I14" s="202">
        <v>9081</v>
      </c>
      <c r="J14" s="203">
        <v>1.007</v>
      </c>
      <c r="K14" s="161">
        <f>ROUND((H14)*I14/1000*J14,1)-0.3</f>
        <v>1737.2</v>
      </c>
      <c r="L14" s="269">
        <v>45</v>
      </c>
      <c r="M14" s="270">
        <v>9081</v>
      </c>
      <c r="N14" s="271">
        <v>1.007</v>
      </c>
      <c r="O14" s="161">
        <f t="shared" si="3"/>
        <v>411.5</v>
      </c>
      <c r="P14" s="161">
        <f t="shared" si="2"/>
        <v>2368.5</v>
      </c>
      <c r="Q14" s="163">
        <f>'Общехоз.'!T14-'Общехоз.  на образование'!P14</f>
        <v>0</v>
      </c>
      <c r="R14" s="164"/>
      <c r="S14" s="198"/>
      <c r="T14" s="163"/>
    </row>
    <row r="15" spans="1:20" s="165" customFormat="1" ht="15.75">
      <c r="A15" s="166">
        <v>8</v>
      </c>
      <c r="B15" s="160" t="s">
        <v>9</v>
      </c>
      <c r="C15" s="206">
        <v>7980</v>
      </c>
      <c r="D15" s="35">
        <v>44</v>
      </c>
      <c r="E15" s="202">
        <v>9081</v>
      </c>
      <c r="F15" s="203">
        <f t="shared" si="0"/>
        <v>0.879</v>
      </c>
      <c r="G15" s="204">
        <f t="shared" si="1"/>
        <v>351.2</v>
      </c>
      <c r="H15" s="208">
        <v>181</v>
      </c>
      <c r="I15" s="202">
        <v>9081</v>
      </c>
      <c r="J15" s="203">
        <v>0.918</v>
      </c>
      <c r="K15" s="161">
        <f>ROUND((H15)*I15/1000*J15,1)-0.2</f>
        <v>1508.7</v>
      </c>
      <c r="L15" s="269">
        <v>45</v>
      </c>
      <c r="M15" s="270">
        <v>9081</v>
      </c>
      <c r="N15" s="271">
        <v>0.918</v>
      </c>
      <c r="O15" s="161">
        <f t="shared" si="3"/>
        <v>375.1</v>
      </c>
      <c r="P15" s="161">
        <f t="shared" si="2"/>
        <v>2235</v>
      </c>
      <c r="Q15" s="163">
        <f>'Общехоз.'!T15-'Общехоз.  на образование'!P15</f>
        <v>0</v>
      </c>
      <c r="R15" s="164"/>
      <c r="S15" s="198"/>
      <c r="T15" s="163"/>
    </row>
    <row r="16" spans="1:20" s="165" customFormat="1" ht="15.75">
      <c r="A16" s="159">
        <v>9</v>
      </c>
      <c r="B16" s="160" t="s">
        <v>10</v>
      </c>
      <c r="C16" s="206">
        <v>12403</v>
      </c>
      <c r="D16" s="35">
        <v>41</v>
      </c>
      <c r="E16" s="202">
        <v>9081</v>
      </c>
      <c r="F16" s="203">
        <f t="shared" si="0"/>
        <v>1.366</v>
      </c>
      <c r="G16" s="204">
        <f t="shared" si="1"/>
        <v>508.6</v>
      </c>
      <c r="H16" s="208">
        <v>145</v>
      </c>
      <c r="I16" s="202">
        <v>9081</v>
      </c>
      <c r="J16" s="203">
        <v>1.409</v>
      </c>
      <c r="K16" s="161">
        <f>ROUND((H16)*I16/1000*J16,1)+0.9</f>
        <v>1856.2</v>
      </c>
      <c r="L16" s="269">
        <v>37</v>
      </c>
      <c r="M16" s="270">
        <v>9081</v>
      </c>
      <c r="N16" s="271">
        <v>1.409</v>
      </c>
      <c r="O16" s="161">
        <f t="shared" si="3"/>
        <v>473.4</v>
      </c>
      <c r="P16" s="161">
        <f t="shared" si="2"/>
        <v>2838.2000000000003</v>
      </c>
      <c r="Q16" s="163">
        <f>'Общехоз.'!T16-'Общехоз.  на образование'!P16</f>
        <v>0</v>
      </c>
      <c r="R16" s="163"/>
      <c r="S16" s="198"/>
      <c r="T16" s="163"/>
    </row>
    <row r="17" spans="1:20" s="165" customFormat="1" ht="15.75">
      <c r="A17" s="166">
        <v>10</v>
      </c>
      <c r="B17" s="160" t="s">
        <v>11</v>
      </c>
      <c r="C17" s="206">
        <v>10441</v>
      </c>
      <c r="D17" s="35">
        <v>45</v>
      </c>
      <c r="E17" s="202">
        <v>9081</v>
      </c>
      <c r="F17" s="203">
        <f t="shared" si="0"/>
        <v>1.15</v>
      </c>
      <c r="G17" s="204">
        <f t="shared" si="1"/>
        <v>469.9</v>
      </c>
      <c r="H17" s="208">
        <v>159</v>
      </c>
      <c r="I17" s="202">
        <v>9081</v>
      </c>
      <c r="J17" s="203">
        <v>1.198</v>
      </c>
      <c r="K17" s="161">
        <f>ROUND((H17)*I17/1000*J17,1)+0.1</f>
        <v>1729.8999999999999</v>
      </c>
      <c r="L17" s="269">
        <v>30</v>
      </c>
      <c r="M17" s="270">
        <v>9081</v>
      </c>
      <c r="N17" s="271">
        <v>1.198</v>
      </c>
      <c r="O17" s="161">
        <f t="shared" si="3"/>
        <v>326.4</v>
      </c>
      <c r="P17" s="161">
        <f t="shared" si="2"/>
        <v>2526.2</v>
      </c>
      <c r="Q17" s="163">
        <f>'Общехоз.'!T17-'Общехоз.  на образование'!P17</f>
        <v>0</v>
      </c>
      <c r="R17" s="163"/>
      <c r="S17" s="198"/>
      <c r="T17" s="163"/>
    </row>
    <row r="18" spans="1:20" s="165" customFormat="1" ht="15.75">
      <c r="A18" s="159">
        <v>11</v>
      </c>
      <c r="B18" s="167" t="s">
        <v>12</v>
      </c>
      <c r="C18" s="213">
        <v>21469</v>
      </c>
      <c r="D18" s="214">
        <v>22</v>
      </c>
      <c r="E18" s="202">
        <v>9081</v>
      </c>
      <c r="F18" s="203">
        <f t="shared" si="0"/>
        <v>2.364</v>
      </c>
      <c r="G18" s="204">
        <f t="shared" si="1"/>
        <v>472.3</v>
      </c>
      <c r="H18" s="216">
        <v>51</v>
      </c>
      <c r="I18" s="202">
        <v>9081</v>
      </c>
      <c r="J18" s="203">
        <v>2.454</v>
      </c>
      <c r="K18" s="161">
        <f>ROUND((H18)*I18/1000*J18,1)+0.9</f>
        <v>1137.4</v>
      </c>
      <c r="L18" s="269">
        <v>16</v>
      </c>
      <c r="M18" s="270">
        <v>9081</v>
      </c>
      <c r="N18" s="271">
        <v>2.454</v>
      </c>
      <c r="O18" s="161">
        <f t="shared" si="3"/>
        <v>356.6</v>
      </c>
      <c r="P18" s="161">
        <f t="shared" si="2"/>
        <v>1966.3000000000002</v>
      </c>
      <c r="Q18" s="163">
        <f>'Общехоз.'!T18-'Общехоз.  на образование'!P18</f>
        <v>0</v>
      </c>
      <c r="R18" s="163"/>
      <c r="S18" s="198"/>
      <c r="T18" s="163"/>
    </row>
    <row r="19" spans="1:20" s="165" customFormat="1" ht="15.75">
      <c r="A19" s="166">
        <v>12</v>
      </c>
      <c r="B19" s="160" t="s">
        <v>26</v>
      </c>
      <c r="C19" s="206">
        <v>28285</v>
      </c>
      <c r="D19" s="35"/>
      <c r="E19" s="202">
        <v>9081</v>
      </c>
      <c r="F19" s="203">
        <f t="shared" si="0"/>
        <v>3.115</v>
      </c>
      <c r="G19" s="204">
        <f t="shared" si="1"/>
        <v>0</v>
      </c>
      <c r="H19" s="208">
        <v>26</v>
      </c>
      <c r="I19" s="202">
        <v>9081</v>
      </c>
      <c r="J19" s="203">
        <v>3.261</v>
      </c>
      <c r="K19" s="161">
        <f>ROUND((H19)*I19/1000*J19,1)+0.8</f>
        <v>770.6999999999999</v>
      </c>
      <c r="L19" s="269"/>
      <c r="M19" s="270">
        <v>9081</v>
      </c>
      <c r="N19" s="271">
        <v>3.261</v>
      </c>
      <c r="O19" s="161">
        <f t="shared" si="3"/>
        <v>0</v>
      </c>
      <c r="P19" s="161">
        <f t="shared" si="2"/>
        <v>770.6999999999999</v>
      </c>
      <c r="Q19" s="163">
        <f>'Общехоз.'!T19-'Общехоз.  на образование'!P19</f>
        <v>0</v>
      </c>
      <c r="R19" s="163"/>
      <c r="S19" s="198"/>
      <c r="T19" s="163"/>
    </row>
    <row r="20" spans="1:20" s="165" customFormat="1" ht="15.75">
      <c r="A20" s="159">
        <v>13</v>
      </c>
      <c r="B20" s="160" t="s">
        <v>25</v>
      </c>
      <c r="C20" s="210">
        <v>19032</v>
      </c>
      <c r="D20" s="211"/>
      <c r="E20" s="202">
        <v>9081</v>
      </c>
      <c r="F20" s="203">
        <f t="shared" si="0"/>
        <v>2.096</v>
      </c>
      <c r="G20" s="204">
        <f t="shared" si="1"/>
        <v>0</v>
      </c>
      <c r="H20" s="208">
        <v>25</v>
      </c>
      <c r="I20" s="202">
        <v>9081</v>
      </c>
      <c r="J20" s="203">
        <v>2.175</v>
      </c>
      <c r="K20" s="161">
        <f>ROUND((H20)*I20/1000*J20,1)+0.7</f>
        <v>494.5</v>
      </c>
      <c r="L20" s="269"/>
      <c r="M20" s="270">
        <v>9081</v>
      </c>
      <c r="N20" s="271">
        <v>2.175</v>
      </c>
      <c r="O20" s="161">
        <f t="shared" si="3"/>
        <v>0</v>
      </c>
      <c r="P20" s="161">
        <f t="shared" si="2"/>
        <v>494.5</v>
      </c>
      <c r="Q20" s="163">
        <f>'Общехоз.'!T20-'Общехоз.  на образование'!P20</f>
        <v>0</v>
      </c>
      <c r="R20" s="163"/>
      <c r="S20" s="198"/>
      <c r="T20" s="163"/>
    </row>
    <row r="21" spans="1:20" s="165" customFormat="1" ht="15.75">
      <c r="A21" s="166">
        <v>14</v>
      </c>
      <c r="B21" s="160" t="s">
        <v>13</v>
      </c>
      <c r="C21" s="206">
        <v>11724</v>
      </c>
      <c r="D21" s="35"/>
      <c r="E21" s="202">
        <v>9081</v>
      </c>
      <c r="F21" s="203">
        <f t="shared" si="0"/>
        <v>1.291</v>
      </c>
      <c r="G21" s="204">
        <f t="shared" si="1"/>
        <v>0</v>
      </c>
      <c r="H21" s="208">
        <v>86</v>
      </c>
      <c r="I21" s="202">
        <v>9081</v>
      </c>
      <c r="J21" s="203">
        <v>1.343</v>
      </c>
      <c r="K21" s="161">
        <f>ROUND((H21)*I21/1000*J21,1)+0.1</f>
        <v>1048.8999999999999</v>
      </c>
      <c r="L21" s="269"/>
      <c r="M21" s="270">
        <v>9081</v>
      </c>
      <c r="N21" s="271">
        <v>1.343</v>
      </c>
      <c r="O21" s="161">
        <f t="shared" si="3"/>
        <v>0</v>
      </c>
      <c r="P21" s="161">
        <f t="shared" si="2"/>
        <v>1048.8999999999999</v>
      </c>
      <c r="Q21" s="163">
        <f>'Общехоз.'!T21-'Общехоз.  на образование'!P21</f>
        <v>0</v>
      </c>
      <c r="R21" s="163"/>
      <c r="S21" s="198"/>
      <c r="T21" s="163"/>
    </row>
    <row r="22" spans="1:20" s="165" customFormat="1" ht="15.75">
      <c r="A22" s="159">
        <v>15</v>
      </c>
      <c r="B22" s="160" t="s">
        <v>14</v>
      </c>
      <c r="C22" s="206">
        <v>18982</v>
      </c>
      <c r="D22" s="35"/>
      <c r="E22" s="202">
        <v>9081</v>
      </c>
      <c r="F22" s="203">
        <f t="shared" si="0"/>
        <v>2.09</v>
      </c>
      <c r="G22" s="204">
        <f t="shared" si="1"/>
        <v>0</v>
      </c>
      <c r="H22" s="208">
        <v>45</v>
      </c>
      <c r="I22" s="202">
        <v>9081</v>
      </c>
      <c r="J22" s="203">
        <v>2.183</v>
      </c>
      <c r="K22" s="161">
        <f>ROUND((H22)*I22/1000*J22,1)-0.1</f>
        <v>892</v>
      </c>
      <c r="L22" s="269"/>
      <c r="M22" s="270">
        <v>9081</v>
      </c>
      <c r="N22" s="271">
        <v>2.183</v>
      </c>
      <c r="O22" s="161">
        <f t="shared" si="3"/>
        <v>0</v>
      </c>
      <c r="P22" s="161">
        <f t="shared" si="2"/>
        <v>892</v>
      </c>
      <c r="Q22" s="163">
        <f>'Общехоз.'!T22-'Общехоз.  на образование'!P22</f>
        <v>0</v>
      </c>
      <c r="R22" s="163"/>
      <c r="S22" s="198"/>
      <c r="T22" s="163"/>
    </row>
    <row r="23" spans="1:20" s="165" customFormat="1" ht="15.75">
      <c r="A23" s="166">
        <v>16</v>
      </c>
      <c r="B23" s="160" t="s">
        <v>15</v>
      </c>
      <c r="C23" s="206">
        <v>16720</v>
      </c>
      <c r="D23" s="35"/>
      <c r="E23" s="202">
        <v>9081</v>
      </c>
      <c r="F23" s="203">
        <f t="shared" si="0"/>
        <v>1.841</v>
      </c>
      <c r="G23" s="204">
        <f t="shared" si="1"/>
        <v>0</v>
      </c>
      <c r="H23" s="208">
        <v>50</v>
      </c>
      <c r="I23" s="202">
        <v>9081</v>
      </c>
      <c r="J23" s="203">
        <v>1.92</v>
      </c>
      <c r="K23" s="161">
        <f>ROUND((H23)*I23/1000*J23,1)+0.7</f>
        <v>872.5</v>
      </c>
      <c r="L23" s="269"/>
      <c r="M23" s="270">
        <v>9081</v>
      </c>
      <c r="N23" s="271">
        <v>1.92</v>
      </c>
      <c r="O23" s="161">
        <f t="shared" si="3"/>
        <v>0</v>
      </c>
      <c r="P23" s="161">
        <f t="shared" si="2"/>
        <v>872.5</v>
      </c>
      <c r="Q23" s="163">
        <f>'Общехоз.'!T23-'Общехоз.  на образование'!P23</f>
        <v>0</v>
      </c>
      <c r="R23" s="163"/>
      <c r="S23" s="198"/>
      <c r="T23" s="163"/>
    </row>
    <row r="24" spans="1:21" s="169" customFormat="1" ht="16.5" customHeight="1">
      <c r="A24" s="168">
        <v>17</v>
      </c>
      <c r="B24" s="167" t="s">
        <v>16</v>
      </c>
      <c r="C24" s="217">
        <v>14441</v>
      </c>
      <c r="D24" s="218"/>
      <c r="E24" s="202">
        <v>9081</v>
      </c>
      <c r="F24" s="203">
        <f t="shared" si="0"/>
        <v>1.59</v>
      </c>
      <c r="G24" s="204">
        <f t="shared" si="1"/>
        <v>0</v>
      </c>
      <c r="H24" s="208">
        <v>64</v>
      </c>
      <c r="I24" s="202">
        <v>9081</v>
      </c>
      <c r="J24" s="203">
        <v>1.664</v>
      </c>
      <c r="K24" s="161">
        <f>ROUND((H24)*I24/1000*J24,1)-0.9</f>
        <v>966.2</v>
      </c>
      <c r="L24" s="269"/>
      <c r="M24" s="270">
        <v>9081</v>
      </c>
      <c r="N24" s="271">
        <v>1.664</v>
      </c>
      <c r="O24" s="161">
        <f t="shared" si="3"/>
        <v>0</v>
      </c>
      <c r="P24" s="161">
        <f t="shared" si="2"/>
        <v>966.2</v>
      </c>
      <c r="Q24" s="163">
        <f>'Общехоз.'!T24-'Общехоз.  на образование'!P24</f>
        <v>0</v>
      </c>
      <c r="R24" s="58"/>
      <c r="S24" s="198"/>
      <c r="T24" s="163"/>
      <c r="U24" s="165"/>
    </row>
    <row r="25" spans="1:20" s="165" customFormat="1" ht="19.5" customHeight="1">
      <c r="A25" s="166">
        <v>18</v>
      </c>
      <c r="B25" s="160" t="s">
        <v>27</v>
      </c>
      <c r="C25" s="220">
        <v>37522</v>
      </c>
      <c r="D25" s="36"/>
      <c r="E25" s="202">
        <v>9081</v>
      </c>
      <c r="F25" s="203">
        <f t="shared" si="0"/>
        <v>4.132</v>
      </c>
      <c r="G25" s="204">
        <f t="shared" si="1"/>
        <v>0</v>
      </c>
      <c r="H25" s="208">
        <v>18</v>
      </c>
      <c r="I25" s="202">
        <v>9081</v>
      </c>
      <c r="J25" s="203">
        <v>4.35</v>
      </c>
      <c r="K25" s="161">
        <f>ROUND((H25)*I25/1000*J25,1)-0.3</f>
        <v>710.7</v>
      </c>
      <c r="L25" s="269"/>
      <c r="M25" s="270">
        <v>9081</v>
      </c>
      <c r="N25" s="271">
        <v>4.35</v>
      </c>
      <c r="O25" s="161">
        <f t="shared" si="3"/>
        <v>0</v>
      </c>
      <c r="P25" s="161">
        <f t="shared" si="2"/>
        <v>710.7</v>
      </c>
      <c r="Q25" s="163">
        <f>'Общехоз.'!T25-'Общехоз.  на образование'!P25</f>
        <v>0</v>
      </c>
      <c r="R25" s="163"/>
      <c r="S25" s="198"/>
      <c r="T25" s="163"/>
    </row>
    <row r="26" spans="1:20" s="165" customFormat="1" ht="19.5" customHeight="1">
      <c r="A26" s="159">
        <v>19</v>
      </c>
      <c r="B26" s="160" t="s">
        <v>28</v>
      </c>
      <c r="C26" s="220">
        <v>90163</v>
      </c>
      <c r="D26" s="36"/>
      <c r="E26" s="202">
        <v>9081</v>
      </c>
      <c r="F26" s="203">
        <f t="shared" si="0"/>
        <v>9.929</v>
      </c>
      <c r="G26" s="204">
        <f t="shared" si="1"/>
        <v>0</v>
      </c>
      <c r="H26" s="208">
        <v>8</v>
      </c>
      <c r="I26" s="202">
        <v>9081</v>
      </c>
      <c r="J26" s="203">
        <v>10.405</v>
      </c>
      <c r="K26" s="161">
        <f>ROUND((H26)*I26/1000*J26,1)+0.7</f>
        <v>756.6</v>
      </c>
      <c r="L26" s="269"/>
      <c r="M26" s="270">
        <v>9081</v>
      </c>
      <c r="N26" s="271">
        <v>10.405</v>
      </c>
      <c r="O26" s="161">
        <f t="shared" si="3"/>
        <v>0</v>
      </c>
      <c r="P26" s="161">
        <f t="shared" si="2"/>
        <v>756.6</v>
      </c>
      <c r="Q26" s="163">
        <f>'Общехоз.'!T26-'Общехоз.  на образование'!P26</f>
        <v>0</v>
      </c>
      <c r="R26" s="163"/>
      <c r="S26" s="198"/>
      <c r="T26" s="163"/>
    </row>
    <row r="27" spans="1:20" s="165" customFormat="1" ht="18" customHeight="1">
      <c r="A27" s="166">
        <v>20</v>
      </c>
      <c r="B27" s="160" t="s">
        <v>29</v>
      </c>
      <c r="C27" s="220">
        <v>58817</v>
      </c>
      <c r="D27" s="36"/>
      <c r="E27" s="202">
        <v>9081</v>
      </c>
      <c r="F27" s="203">
        <f t="shared" si="0"/>
        <v>6.477</v>
      </c>
      <c r="G27" s="204">
        <f t="shared" si="1"/>
        <v>0</v>
      </c>
      <c r="H27" s="208">
        <v>12</v>
      </c>
      <c r="I27" s="202">
        <v>9081</v>
      </c>
      <c r="J27" s="203">
        <v>6.79</v>
      </c>
      <c r="K27" s="161">
        <f>ROUND((H27)*I27/1000*J27,1)+1.1</f>
        <v>741</v>
      </c>
      <c r="L27" s="269"/>
      <c r="M27" s="270">
        <v>9081</v>
      </c>
      <c r="N27" s="271">
        <v>6.79</v>
      </c>
      <c r="O27" s="161">
        <f t="shared" si="3"/>
        <v>0</v>
      </c>
      <c r="P27" s="161">
        <f t="shared" si="2"/>
        <v>741</v>
      </c>
      <c r="Q27" s="163">
        <f>'Общехоз.'!T27-'Общехоз.  на образование'!P27</f>
        <v>0</v>
      </c>
      <c r="R27" s="163"/>
      <c r="S27" s="198"/>
      <c r="T27" s="163"/>
    </row>
    <row r="28" spans="1:20" s="165" customFormat="1" ht="18.75" customHeight="1">
      <c r="A28" s="159">
        <v>21</v>
      </c>
      <c r="B28" s="160" t="s">
        <v>30</v>
      </c>
      <c r="C28" s="220">
        <v>25544</v>
      </c>
      <c r="D28" s="36"/>
      <c r="E28" s="202">
        <v>9081</v>
      </c>
      <c r="F28" s="203">
        <f t="shared" si="0"/>
        <v>2.813</v>
      </c>
      <c r="G28" s="204">
        <f t="shared" si="1"/>
        <v>0</v>
      </c>
      <c r="H28" s="208">
        <v>27</v>
      </c>
      <c r="I28" s="202">
        <v>9081</v>
      </c>
      <c r="J28" s="203">
        <v>2.949</v>
      </c>
      <c r="K28" s="161">
        <f>ROUND((H28)*I28/1000*J28,1)+1.8</f>
        <v>724.9</v>
      </c>
      <c r="L28" s="269"/>
      <c r="M28" s="270">
        <v>9081</v>
      </c>
      <c r="N28" s="271">
        <v>2.949</v>
      </c>
      <c r="O28" s="161">
        <f t="shared" si="3"/>
        <v>0</v>
      </c>
      <c r="P28" s="161">
        <f t="shared" si="2"/>
        <v>724.9</v>
      </c>
      <c r="Q28" s="163">
        <f>'Общехоз.'!T28-'Общехоз.  на образование'!P28</f>
        <v>0</v>
      </c>
      <c r="R28" s="163"/>
      <c r="S28" s="198"/>
      <c r="T28" s="163"/>
    </row>
    <row r="29" spans="1:20" s="165" customFormat="1" ht="15.75">
      <c r="A29" s="166">
        <v>22</v>
      </c>
      <c r="B29" s="160" t="s">
        <v>17</v>
      </c>
      <c r="C29" s="200">
        <v>12095</v>
      </c>
      <c r="D29" s="37"/>
      <c r="E29" s="202">
        <v>9081</v>
      </c>
      <c r="F29" s="203">
        <f t="shared" si="0"/>
        <v>1.332</v>
      </c>
      <c r="G29" s="204">
        <f t="shared" si="1"/>
        <v>0</v>
      </c>
      <c r="H29" s="205">
        <v>95</v>
      </c>
      <c r="I29" s="202">
        <v>9081</v>
      </c>
      <c r="J29" s="203">
        <v>1.395</v>
      </c>
      <c r="K29" s="161">
        <f>ROUND((H29)*I29/1000*J29,1)-0.4</f>
        <v>1203.1</v>
      </c>
      <c r="L29" s="269"/>
      <c r="M29" s="270">
        <v>9081</v>
      </c>
      <c r="N29" s="271">
        <v>1.395</v>
      </c>
      <c r="O29" s="161">
        <f t="shared" si="3"/>
        <v>0</v>
      </c>
      <c r="P29" s="161">
        <f t="shared" si="2"/>
        <v>1203.1</v>
      </c>
      <c r="Q29" s="163">
        <f>'Общехоз.'!T29-'Общехоз.  на образование'!P29</f>
        <v>0</v>
      </c>
      <c r="R29" s="163"/>
      <c r="S29" s="198"/>
      <c r="T29" s="163"/>
    </row>
    <row r="30" spans="1:20" s="165" customFormat="1" ht="15.75">
      <c r="A30" s="159">
        <v>23</v>
      </c>
      <c r="B30" s="160" t="s">
        <v>18</v>
      </c>
      <c r="C30" s="206">
        <v>12546</v>
      </c>
      <c r="D30" s="35"/>
      <c r="E30" s="202">
        <v>9081</v>
      </c>
      <c r="F30" s="203">
        <f t="shared" si="0"/>
        <v>1.382</v>
      </c>
      <c r="G30" s="204">
        <f t="shared" si="1"/>
        <v>0</v>
      </c>
      <c r="H30" s="208">
        <v>74</v>
      </c>
      <c r="I30" s="202">
        <v>9081</v>
      </c>
      <c r="J30" s="203">
        <v>1.433</v>
      </c>
      <c r="K30" s="161">
        <f>ROUND((H30)*I30/1000*J30,1)+0.4</f>
        <v>963.4</v>
      </c>
      <c r="L30" s="269">
        <v>17</v>
      </c>
      <c r="M30" s="270">
        <v>9081</v>
      </c>
      <c r="N30" s="271">
        <v>1.433</v>
      </c>
      <c r="O30" s="161">
        <f t="shared" si="3"/>
        <v>221.2</v>
      </c>
      <c r="P30" s="161">
        <f t="shared" si="2"/>
        <v>1184.6</v>
      </c>
      <c r="Q30" s="163">
        <f>'Общехоз.'!T30-'Общехоз.  на образование'!P30</f>
        <v>0</v>
      </c>
      <c r="R30" s="163"/>
      <c r="S30" s="198"/>
      <c r="T30" s="163"/>
    </row>
    <row r="31" spans="1:21" s="169" customFormat="1" ht="18" customHeight="1">
      <c r="A31" s="166">
        <v>24</v>
      </c>
      <c r="B31" s="167" t="s">
        <v>19</v>
      </c>
      <c r="C31" s="220">
        <v>10507</v>
      </c>
      <c r="D31" s="36">
        <v>21</v>
      </c>
      <c r="E31" s="202">
        <v>9081</v>
      </c>
      <c r="F31" s="203">
        <f t="shared" si="0"/>
        <v>1.157</v>
      </c>
      <c r="G31" s="204">
        <f t="shared" si="1"/>
        <v>220.6</v>
      </c>
      <c r="H31" s="208">
        <v>52</v>
      </c>
      <c r="I31" s="202">
        <v>9081</v>
      </c>
      <c r="J31" s="203">
        <v>1.208</v>
      </c>
      <c r="K31" s="161">
        <f>ROUND((H31)*I31/1000*J31,1)-0.2</f>
        <v>570.1999999999999</v>
      </c>
      <c r="L31" s="269">
        <v>44</v>
      </c>
      <c r="M31" s="270">
        <v>9081</v>
      </c>
      <c r="N31" s="271">
        <v>1.208</v>
      </c>
      <c r="O31" s="161">
        <f t="shared" si="3"/>
        <v>482.7</v>
      </c>
      <c r="P31" s="161">
        <f t="shared" si="2"/>
        <v>1273.5</v>
      </c>
      <c r="Q31" s="163">
        <f>'Общехоз.'!T31-'Общехоз.  на образование'!P31</f>
        <v>0</v>
      </c>
      <c r="R31" s="58"/>
      <c r="S31" s="198"/>
      <c r="T31" s="163"/>
      <c r="U31" s="165"/>
    </row>
    <row r="32" spans="1:20" s="165" customFormat="1" ht="15.75">
      <c r="A32" s="159">
        <v>25</v>
      </c>
      <c r="B32" s="160" t="s">
        <v>20</v>
      </c>
      <c r="C32" s="206">
        <v>8931</v>
      </c>
      <c r="D32" s="35">
        <v>18</v>
      </c>
      <c r="E32" s="202">
        <v>9081</v>
      </c>
      <c r="F32" s="203">
        <f t="shared" si="0"/>
        <v>0.983</v>
      </c>
      <c r="G32" s="204">
        <f t="shared" si="1"/>
        <v>160.7</v>
      </c>
      <c r="H32" s="208">
        <v>119</v>
      </c>
      <c r="I32" s="202">
        <v>9081</v>
      </c>
      <c r="J32" s="203">
        <v>1.021</v>
      </c>
      <c r="K32" s="161">
        <f>ROUND((H32)*I32/1000*J32,1)+1.1</f>
        <v>1104.3999999999999</v>
      </c>
      <c r="L32" s="269"/>
      <c r="M32" s="270">
        <v>9081</v>
      </c>
      <c r="N32" s="271">
        <v>1.021</v>
      </c>
      <c r="O32" s="161">
        <f t="shared" si="3"/>
        <v>0</v>
      </c>
      <c r="P32" s="161">
        <f t="shared" si="2"/>
        <v>1265.1</v>
      </c>
      <c r="Q32" s="163">
        <f>'Общехоз.'!T32-'Общехоз.  на образование'!P32</f>
        <v>0</v>
      </c>
      <c r="R32" s="163"/>
      <c r="S32" s="198"/>
      <c r="T32" s="163"/>
    </row>
    <row r="33" spans="1:20" s="165" customFormat="1" ht="15.75">
      <c r="A33" s="166">
        <v>26</v>
      </c>
      <c r="B33" s="160" t="s">
        <v>21</v>
      </c>
      <c r="C33" s="222">
        <v>10997</v>
      </c>
      <c r="D33" s="223">
        <v>24</v>
      </c>
      <c r="E33" s="202">
        <v>9081</v>
      </c>
      <c r="F33" s="203">
        <f t="shared" si="0"/>
        <v>1.211</v>
      </c>
      <c r="G33" s="204">
        <f t="shared" si="1"/>
        <v>263.9</v>
      </c>
      <c r="H33" s="225">
        <v>112</v>
      </c>
      <c r="I33" s="202">
        <v>9081</v>
      </c>
      <c r="J33" s="203">
        <v>1.265</v>
      </c>
      <c r="K33" s="161">
        <f>ROUND((H33)*I33/1000*J33,1)+1.7</f>
        <v>1288.3</v>
      </c>
      <c r="L33" s="269"/>
      <c r="M33" s="270">
        <v>9081</v>
      </c>
      <c r="N33" s="271">
        <v>1.265</v>
      </c>
      <c r="O33" s="161">
        <f t="shared" si="3"/>
        <v>0</v>
      </c>
      <c r="P33" s="161">
        <f t="shared" si="2"/>
        <v>1552.1999999999998</v>
      </c>
      <c r="Q33" s="163">
        <f>'Общехоз.'!T33-'Общехоз.  на образование'!P33</f>
        <v>0</v>
      </c>
      <c r="R33" s="163"/>
      <c r="S33" s="198"/>
      <c r="T33" s="163"/>
    </row>
    <row r="34" spans="1:20" s="165" customFormat="1" ht="15.75">
      <c r="A34" s="159">
        <v>27</v>
      </c>
      <c r="B34" s="160" t="s">
        <v>31</v>
      </c>
      <c r="C34" s="206">
        <v>34935</v>
      </c>
      <c r="D34" s="35"/>
      <c r="E34" s="202">
        <v>9081</v>
      </c>
      <c r="F34" s="203">
        <f t="shared" si="0"/>
        <v>3.847</v>
      </c>
      <c r="G34" s="204">
        <f t="shared" si="1"/>
        <v>0</v>
      </c>
      <c r="H34" s="208">
        <v>20</v>
      </c>
      <c r="I34" s="202">
        <v>9081</v>
      </c>
      <c r="J34" s="203">
        <v>4.04</v>
      </c>
      <c r="K34" s="161">
        <f>ROUND((H34)*I34/1000*J34,1)+0.3</f>
        <v>734</v>
      </c>
      <c r="L34" s="269"/>
      <c r="M34" s="270">
        <v>9081</v>
      </c>
      <c r="N34" s="271">
        <v>4.04</v>
      </c>
      <c r="O34" s="161">
        <f t="shared" si="3"/>
        <v>0</v>
      </c>
      <c r="P34" s="161">
        <f t="shared" si="2"/>
        <v>734</v>
      </c>
      <c r="Q34" s="163">
        <f>'Общехоз.'!T34-'Общехоз.  на образование'!P34</f>
        <v>0</v>
      </c>
      <c r="R34" s="163"/>
      <c r="S34" s="198"/>
      <c r="T34" s="163"/>
    </row>
    <row r="35" spans="1:20" s="165" customFormat="1" ht="15.75">
      <c r="A35" s="166">
        <v>28</v>
      </c>
      <c r="B35" s="160" t="s">
        <v>32</v>
      </c>
      <c r="C35" s="206">
        <v>29089</v>
      </c>
      <c r="D35" s="35"/>
      <c r="E35" s="202">
        <v>9081</v>
      </c>
      <c r="F35" s="203">
        <f t="shared" si="0"/>
        <v>3.203</v>
      </c>
      <c r="G35" s="204">
        <f t="shared" si="1"/>
        <v>0</v>
      </c>
      <c r="H35" s="208">
        <v>18</v>
      </c>
      <c r="I35" s="202">
        <v>9081</v>
      </c>
      <c r="J35" s="203">
        <v>3.36</v>
      </c>
      <c r="K35" s="161">
        <f>ROUND((H35)*I35/1000*J35,1)+0.2</f>
        <v>549.4000000000001</v>
      </c>
      <c r="L35" s="269"/>
      <c r="M35" s="270">
        <v>9081</v>
      </c>
      <c r="N35" s="271">
        <v>3.36</v>
      </c>
      <c r="O35" s="161">
        <f t="shared" si="3"/>
        <v>0</v>
      </c>
      <c r="P35" s="161">
        <f t="shared" si="2"/>
        <v>549.4000000000001</v>
      </c>
      <c r="Q35" s="163">
        <f>'Общехоз.'!T35-'Общехоз.  на образование'!P35</f>
        <v>0</v>
      </c>
      <c r="R35" s="163"/>
      <c r="S35" s="198"/>
      <c r="T35" s="163"/>
    </row>
    <row r="36" spans="1:20" s="165" customFormat="1" ht="15.75">
      <c r="A36" s="159">
        <v>29</v>
      </c>
      <c r="B36" s="160" t="s">
        <v>22</v>
      </c>
      <c r="C36" s="206">
        <v>9887</v>
      </c>
      <c r="D36" s="35"/>
      <c r="E36" s="202">
        <v>9081</v>
      </c>
      <c r="F36" s="203">
        <f t="shared" si="0"/>
        <v>1.089</v>
      </c>
      <c r="G36" s="204">
        <f t="shared" si="1"/>
        <v>0</v>
      </c>
      <c r="H36" s="208">
        <v>62</v>
      </c>
      <c r="I36" s="202">
        <v>9081</v>
      </c>
      <c r="J36" s="203">
        <v>1.129</v>
      </c>
      <c r="K36" s="161">
        <f>ROUND((H36)*I36/1000*J36,1)+1.3</f>
        <v>637</v>
      </c>
      <c r="L36" s="269"/>
      <c r="M36" s="270">
        <v>9081</v>
      </c>
      <c r="N36" s="271">
        <v>1.129</v>
      </c>
      <c r="O36" s="161">
        <f t="shared" si="3"/>
        <v>0</v>
      </c>
      <c r="P36" s="161">
        <f t="shared" si="2"/>
        <v>637</v>
      </c>
      <c r="Q36" s="163">
        <f>'Общехоз.'!T36-'Общехоз.  на образование'!P36</f>
        <v>0</v>
      </c>
      <c r="R36" s="163"/>
      <c r="S36" s="198"/>
      <c r="T36" s="163"/>
    </row>
    <row r="37" spans="1:20" s="165" customFormat="1" ht="15.75">
      <c r="A37" s="166">
        <v>30</v>
      </c>
      <c r="B37" s="160" t="s">
        <v>33</v>
      </c>
      <c r="C37" s="210">
        <v>62575</v>
      </c>
      <c r="D37" s="211"/>
      <c r="E37" s="202">
        <v>9081</v>
      </c>
      <c r="F37" s="203">
        <f t="shared" si="0"/>
        <v>6.891</v>
      </c>
      <c r="G37" s="204">
        <f t="shared" si="1"/>
        <v>0</v>
      </c>
      <c r="H37" s="208">
        <v>12</v>
      </c>
      <c r="I37" s="202">
        <v>9081</v>
      </c>
      <c r="J37" s="203">
        <v>7.208</v>
      </c>
      <c r="K37" s="161">
        <f>ROUND((H37)*I37/1000*J37,1)+0.6</f>
        <v>786.1</v>
      </c>
      <c r="L37" s="269"/>
      <c r="M37" s="270">
        <v>9081</v>
      </c>
      <c r="N37" s="271">
        <v>7.208</v>
      </c>
      <c r="O37" s="161">
        <f t="shared" si="3"/>
        <v>0</v>
      </c>
      <c r="P37" s="161">
        <f t="shared" si="2"/>
        <v>786.1</v>
      </c>
      <c r="Q37" s="163">
        <f>'Общехоз.'!T37-'Общехоз.  на образование'!P37</f>
        <v>0</v>
      </c>
      <c r="R37" s="163"/>
      <c r="S37" s="198"/>
      <c r="T37" s="163"/>
    </row>
    <row r="38" spans="1:20" s="165" customFormat="1" ht="17.25" customHeight="1">
      <c r="A38" s="159">
        <v>31</v>
      </c>
      <c r="B38" s="160" t="s">
        <v>34</v>
      </c>
      <c r="C38" s="210">
        <v>24332</v>
      </c>
      <c r="D38" s="211"/>
      <c r="E38" s="202">
        <v>9081</v>
      </c>
      <c r="F38" s="203">
        <f t="shared" si="0"/>
        <v>2.679</v>
      </c>
      <c r="G38" s="204">
        <f t="shared" si="1"/>
        <v>0</v>
      </c>
      <c r="H38" s="208">
        <v>31</v>
      </c>
      <c r="I38" s="202">
        <v>9081</v>
      </c>
      <c r="J38" s="203">
        <v>2.808</v>
      </c>
      <c r="K38" s="161">
        <f>ROUND((H38)*I38/1000*J38,1)+0.4</f>
        <v>790.9</v>
      </c>
      <c r="L38" s="269"/>
      <c r="M38" s="270">
        <v>9081</v>
      </c>
      <c r="N38" s="271">
        <v>2.808</v>
      </c>
      <c r="O38" s="161">
        <f t="shared" si="3"/>
        <v>0</v>
      </c>
      <c r="P38" s="161">
        <f t="shared" si="2"/>
        <v>790.9</v>
      </c>
      <c r="Q38" s="163">
        <f>'Общехоз.'!T38-'Общехоз.  на образование'!P38</f>
        <v>0</v>
      </c>
      <c r="R38" s="163"/>
      <c r="S38" s="198"/>
      <c r="T38" s="163"/>
    </row>
    <row r="39" spans="1:20" s="165" customFormat="1" ht="15.75">
      <c r="A39" s="166">
        <v>32</v>
      </c>
      <c r="B39" s="160" t="s">
        <v>35</v>
      </c>
      <c r="C39" s="206">
        <v>5823</v>
      </c>
      <c r="D39" s="35"/>
      <c r="E39" s="202">
        <v>9081</v>
      </c>
      <c r="F39" s="203">
        <f t="shared" si="0"/>
        <v>0.641</v>
      </c>
      <c r="G39" s="204">
        <f t="shared" si="1"/>
        <v>0</v>
      </c>
      <c r="H39" s="208">
        <v>26</v>
      </c>
      <c r="I39" s="202">
        <v>9081</v>
      </c>
      <c r="J39" s="203">
        <v>0.666</v>
      </c>
      <c r="K39" s="161">
        <f>ROUND((H39)*I39/1000*J39,1)+0.8</f>
        <v>158</v>
      </c>
      <c r="L39" s="269"/>
      <c r="M39" s="270">
        <v>9081</v>
      </c>
      <c r="N39" s="271">
        <v>0.666</v>
      </c>
      <c r="O39" s="161">
        <f t="shared" si="3"/>
        <v>0</v>
      </c>
      <c r="P39" s="161">
        <f t="shared" si="2"/>
        <v>158</v>
      </c>
      <c r="Q39" s="163">
        <f>'Общехоз.'!T39-'Общехоз.  на образование'!P39</f>
        <v>0</v>
      </c>
      <c r="R39" s="163"/>
      <c r="S39" s="198"/>
      <c r="T39" s="163"/>
    </row>
    <row r="40" spans="1:20" s="165" customFormat="1" ht="15.75">
      <c r="A40" s="159">
        <v>33</v>
      </c>
      <c r="B40" s="160" t="s">
        <v>36</v>
      </c>
      <c r="C40" s="206">
        <v>30003</v>
      </c>
      <c r="D40" s="35"/>
      <c r="E40" s="202">
        <v>9081</v>
      </c>
      <c r="F40" s="203">
        <f t="shared" si="0"/>
        <v>3.304</v>
      </c>
      <c r="G40" s="204">
        <f t="shared" si="1"/>
        <v>0</v>
      </c>
      <c r="H40" s="208">
        <v>34</v>
      </c>
      <c r="I40" s="202">
        <v>9081</v>
      </c>
      <c r="J40" s="203">
        <v>3.435</v>
      </c>
      <c r="K40" s="161">
        <f>ROUND((H40)*I40/1000*J40,1)+0.2</f>
        <v>1060.8</v>
      </c>
      <c r="L40" s="269"/>
      <c r="M40" s="270">
        <v>9081</v>
      </c>
      <c r="N40" s="271">
        <v>3.435</v>
      </c>
      <c r="O40" s="161">
        <f t="shared" si="3"/>
        <v>0</v>
      </c>
      <c r="P40" s="161">
        <f t="shared" si="2"/>
        <v>1060.8</v>
      </c>
      <c r="Q40" s="163">
        <f>'Общехоз.'!T40-'Общехоз.  на образование'!P40</f>
        <v>0</v>
      </c>
      <c r="R40" s="163"/>
      <c r="S40" s="198"/>
      <c r="T40" s="163"/>
    </row>
    <row r="41" spans="1:21" s="169" customFormat="1" ht="16.5" customHeight="1">
      <c r="A41" s="170">
        <v>34</v>
      </c>
      <c r="B41" s="167" t="s">
        <v>37</v>
      </c>
      <c r="C41" s="220">
        <v>19723</v>
      </c>
      <c r="D41" s="36"/>
      <c r="E41" s="202">
        <v>9081</v>
      </c>
      <c r="F41" s="203">
        <f t="shared" si="0"/>
        <v>2.172</v>
      </c>
      <c r="G41" s="204">
        <f t="shared" si="1"/>
        <v>0</v>
      </c>
      <c r="H41" s="208">
        <v>22</v>
      </c>
      <c r="I41" s="202">
        <v>9081</v>
      </c>
      <c r="J41" s="203">
        <v>2.279</v>
      </c>
      <c r="K41" s="161">
        <f>ROUND((H41)*I41/1000*J41,1)+1.3</f>
        <v>456.6</v>
      </c>
      <c r="L41" s="269"/>
      <c r="M41" s="270">
        <v>9081</v>
      </c>
      <c r="N41" s="271">
        <v>2.279</v>
      </c>
      <c r="O41" s="161">
        <f t="shared" si="3"/>
        <v>0</v>
      </c>
      <c r="P41" s="161">
        <f t="shared" si="2"/>
        <v>456.6</v>
      </c>
      <c r="Q41" s="163">
        <f>'Общехоз.'!T41-'Общехоз.  на образование'!P41</f>
        <v>0</v>
      </c>
      <c r="R41" s="58"/>
      <c r="S41" s="198"/>
      <c r="T41" s="163"/>
      <c r="U41" s="165"/>
    </row>
    <row r="42" spans="1:21" s="169" customFormat="1" ht="15" customHeight="1">
      <c r="A42" s="168">
        <v>35</v>
      </c>
      <c r="B42" s="167" t="s">
        <v>38</v>
      </c>
      <c r="C42" s="220">
        <v>22176</v>
      </c>
      <c r="D42" s="36"/>
      <c r="E42" s="202">
        <v>9081</v>
      </c>
      <c r="F42" s="203">
        <f t="shared" si="0"/>
        <v>2.442</v>
      </c>
      <c r="G42" s="204">
        <f t="shared" si="1"/>
        <v>0</v>
      </c>
      <c r="H42" s="208">
        <v>34</v>
      </c>
      <c r="I42" s="202">
        <v>9081</v>
      </c>
      <c r="J42" s="203">
        <v>2.557</v>
      </c>
      <c r="K42" s="161">
        <f>ROUND((H42)*I42/1000*J42,1)+1.1</f>
        <v>790.6</v>
      </c>
      <c r="L42" s="269"/>
      <c r="M42" s="270">
        <v>9081</v>
      </c>
      <c r="N42" s="271">
        <v>2.557</v>
      </c>
      <c r="O42" s="161">
        <f t="shared" si="3"/>
        <v>0</v>
      </c>
      <c r="P42" s="161">
        <f t="shared" si="2"/>
        <v>790.6</v>
      </c>
      <c r="Q42" s="163">
        <f>'Общехоз.'!T42-'Общехоз.  на образование'!P42</f>
        <v>0</v>
      </c>
      <c r="R42" s="58"/>
      <c r="S42" s="198"/>
      <c r="T42" s="163"/>
      <c r="U42" s="165"/>
    </row>
    <row r="43" spans="1:20" s="165" customFormat="1" ht="15.75" customHeight="1">
      <c r="A43" s="166">
        <v>36</v>
      </c>
      <c r="B43" s="160" t="s">
        <v>39</v>
      </c>
      <c r="C43" s="206">
        <v>17502</v>
      </c>
      <c r="D43" s="35"/>
      <c r="E43" s="202">
        <v>9081</v>
      </c>
      <c r="F43" s="203">
        <f t="shared" si="0"/>
        <v>1.927</v>
      </c>
      <c r="G43" s="204">
        <f t="shared" si="1"/>
        <v>0</v>
      </c>
      <c r="H43" s="208">
        <v>63</v>
      </c>
      <c r="I43" s="202">
        <v>9081</v>
      </c>
      <c r="J43" s="203">
        <v>1.999</v>
      </c>
      <c r="K43" s="161">
        <f>ROUND((H43)*I43/1000*J43,1)-0.4</f>
        <v>1143.1999999999998</v>
      </c>
      <c r="L43" s="269"/>
      <c r="M43" s="270">
        <v>9081</v>
      </c>
      <c r="N43" s="271">
        <v>1.999</v>
      </c>
      <c r="O43" s="161">
        <f t="shared" si="3"/>
        <v>0</v>
      </c>
      <c r="P43" s="161">
        <f t="shared" si="2"/>
        <v>1143.1999999999998</v>
      </c>
      <c r="Q43" s="163">
        <f>'Общехоз.'!T43-'Общехоз.  на образование'!P43</f>
        <v>0</v>
      </c>
      <c r="R43" s="163"/>
      <c r="S43" s="198"/>
      <c r="T43" s="163"/>
    </row>
    <row r="44" spans="1:20" s="165" customFormat="1" ht="15.75">
      <c r="A44" s="159">
        <v>37</v>
      </c>
      <c r="B44" s="160" t="s">
        <v>40</v>
      </c>
      <c r="C44" s="206">
        <v>57117</v>
      </c>
      <c r="D44" s="35"/>
      <c r="E44" s="202">
        <v>9081</v>
      </c>
      <c r="F44" s="203">
        <f t="shared" si="0"/>
        <v>6.29</v>
      </c>
      <c r="G44" s="204">
        <f t="shared" si="1"/>
        <v>0</v>
      </c>
      <c r="H44" s="208">
        <v>12</v>
      </c>
      <c r="I44" s="202">
        <v>9081</v>
      </c>
      <c r="J44" s="203">
        <v>6.619</v>
      </c>
      <c r="K44" s="161">
        <f>ROUND((H44)*I44/1000*J44,1)-0.6</f>
        <v>720.6999999999999</v>
      </c>
      <c r="L44" s="269"/>
      <c r="M44" s="270">
        <v>9081</v>
      </c>
      <c r="N44" s="271">
        <v>6.619</v>
      </c>
      <c r="O44" s="161">
        <f t="shared" si="3"/>
        <v>0</v>
      </c>
      <c r="P44" s="161">
        <f t="shared" si="2"/>
        <v>720.6999999999999</v>
      </c>
      <c r="Q44" s="163">
        <f>'Общехоз.'!T44-'Общехоз.  на образование'!P44</f>
        <v>0</v>
      </c>
      <c r="R44" s="163"/>
      <c r="S44" s="198"/>
      <c r="T44" s="163"/>
    </row>
    <row r="45" spans="1:20" s="165" customFormat="1" ht="15.75">
      <c r="A45" s="166">
        <v>38</v>
      </c>
      <c r="B45" s="160" t="s">
        <v>23</v>
      </c>
      <c r="C45" s="226">
        <v>18538</v>
      </c>
      <c r="D45" s="226"/>
      <c r="E45" s="202">
        <v>9081</v>
      </c>
      <c r="F45" s="203">
        <f t="shared" si="0"/>
        <v>2.041</v>
      </c>
      <c r="G45" s="204">
        <f t="shared" si="1"/>
        <v>0</v>
      </c>
      <c r="H45" s="226">
        <v>40</v>
      </c>
      <c r="I45" s="202">
        <v>9081</v>
      </c>
      <c r="J45" s="203">
        <v>2.15</v>
      </c>
      <c r="K45" s="161">
        <f>ROUND((H45)*I45/1000*J45,1)-0.4</f>
        <v>780.6</v>
      </c>
      <c r="L45" s="270"/>
      <c r="M45" s="270">
        <v>9081</v>
      </c>
      <c r="N45" s="271">
        <v>2.15</v>
      </c>
      <c r="O45" s="161">
        <f t="shared" si="3"/>
        <v>0</v>
      </c>
      <c r="P45" s="161">
        <f t="shared" si="2"/>
        <v>780.6</v>
      </c>
      <c r="Q45" s="163">
        <f>'Общехоз.'!T45-'Общехоз.  на образование'!P45</f>
        <v>0</v>
      </c>
      <c r="R45" s="163"/>
      <c r="S45" s="198"/>
      <c r="T45" s="163"/>
    </row>
    <row r="46" spans="1:20" s="165" customFormat="1" ht="15.75">
      <c r="A46" s="159">
        <v>39</v>
      </c>
      <c r="B46" s="160" t="s">
        <v>41</v>
      </c>
      <c r="C46" s="206">
        <v>34641</v>
      </c>
      <c r="D46" s="35"/>
      <c r="E46" s="202">
        <v>9081</v>
      </c>
      <c r="F46" s="203">
        <f t="shared" si="0"/>
        <v>3.815</v>
      </c>
      <c r="G46" s="204">
        <f t="shared" si="1"/>
        <v>0</v>
      </c>
      <c r="H46" s="208">
        <v>22</v>
      </c>
      <c r="I46" s="202">
        <v>9081</v>
      </c>
      <c r="J46" s="203">
        <v>3.99</v>
      </c>
      <c r="K46" s="161">
        <f>ROUND((H46)*I46/1000*J46,1)+0.3</f>
        <v>797.4</v>
      </c>
      <c r="L46" s="269"/>
      <c r="M46" s="270">
        <v>9081</v>
      </c>
      <c r="N46" s="271">
        <v>3.99</v>
      </c>
      <c r="O46" s="161">
        <f t="shared" si="3"/>
        <v>0</v>
      </c>
      <c r="P46" s="161">
        <f t="shared" si="2"/>
        <v>797.4</v>
      </c>
      <c r="Q46" s="163">
        <f>'Общехоз.'!T46-'Общехоз.  на образование'!P46</f>
        <v>0</v>
      </c>
      <c r="R46" s="163"/>
      <c r="S46" s="198"/>
      <c r="T46" s="163"/>
    </row>
    <row r="47" spans="1:20" s="165" customFormat="1" ht="15.75">
      <c r="A47" s="166">
        <v>40</v>
      </c>
      <c r="B47" s="160" t="s">
        <v>42</v>
      </c>
      <c r="C47" s="206">
        <v>92671</v>
      </c>
      <c r="D47" s="35"/>
      <c r="E47" s="202">
        <v>9081</v>
      </c>
      <c r="F47" s="203">
        <f t="shared" si="0"/>
        <v>10.205</v>
      </c>
      <c r="G47" s="204">
        <f t="shared" si="1"/>
        <v>0</v>
      </c>
      <c r="H47" s="208">
        <v>7</v>
      </c>
      <c r="I47" s="202">
        <v>9081</v>
      </c>
      <c r="J47" s="203">
        <v>10.729</v>
      </c>
      <c r="K47" s="161">
        <f>ROUND((H47)*I47/1000*J47,1)+2</f>
        <v>684</v>
      </c>
      <c r="L47" s="269"/>
      <c r="M47" s="270">
        <v>9081</v>
      </c>
      <c r="N47" s="271">
        <v>10.729</v>
      </c>
      <c r="O47" s="161">
        <f t="shared" si="3"/>
        <v>0</v>
      </c>
      <c r="P47" s="161">
        <f t="shared" si="2"/>
        <v>684</v>
      </c>
      <c r="Q47" s="163">
        <f>'Общехоз.'!T47-'Общехоз.  на образование'!P47</f>
        <v>0</v>
      </c>
      <c r="R47" s="163"/>
      <c r="S47" s="198"/>
      <c r="T47" s="163"/>
    </row>
    <row r="48" spans="1:20" s="165" customFormat="1" ht="15.75">
      <c r="A48" s="159">
        <v>41</v>
      </c>
      <c r="B48" s="160" t="s">
        <v>43</v>
      </c>
      <c r="C48" s="206">
        <v>41353</v>
      </c>
      <c r="D48" s="35"/>
      <c r="E48" s="202">
        <v>9081</v>
      </c>
      <c r="F48" s="203">
        <f t="shared" si="0"/>
        <v>4.554</v>
      </c>
      <c r="G48" s="204">
        <f t="shared" si="1"/>
        <v>0</v>
      </c>
      <c r="H48" s="208">
        <v>15</v>
      </c>
      <c r="I48" s="202">
        <v>9081</v>
      </c>
      <c r="J48" s="203">
        <v>4.809</v>
      </c>
      <c r="K48" s="161">
        <f>ROUND((H48)*I48/1000*J48,1)+0.4</f>
        <v>655.5</v>
      </c>
      <c r="L48" s="269"/>
      <c r="M48" s="270">
        <v>9081</v>
      </c>
      <c r="N48" s="271">
        <v>4.809</v>
      </c>
      <c r="O48" s="161">
        <f t="shared" si="3"/>
        <v>0</v>
      </c>
      <c r="P48" s="161">
        <f t="shared" si="2"/>
        <v>655.5</v>
      </c>
      <c r="Q48" s="163">
        <f>'Общехоз.'!T48-'Общехоз.  на образование'!P48</f>
        <v>0</v>
      </c>
      <c r="R48" s="163"/>
      <c r="S48" s="198"/>
      <c r="T48" s="163"/>
    </row>
    <row r="49" spans="1:20" s="165" customFormat="1" ht="15.75">
      <c r="A49" s="166">
        <v>42</v>
      </c>
      <c r="B49" s="160" t="s">
        <v>24</v>
      </c>
      <c r="C49" s="206">
        <v>2073</v>
      </c>
      <c r="D49" s="35"/>
      <c r="E49" s="202">
        <v>9081</v>
      </c>
      <c r="F49" s="203">
        <v>0.228</v>
      </c>
      <c r="G49" s="204">
        <f t="shared" si="1"/>
        <v>0</v>
      </c>
      <c r="H49" s="208">
        <v>11</v>
      </c>
      <c r="I49" s="202">
        <v>9081</v>
      </c>
      <c r="J49" s="203">
        <v>0.228</v>
      </c>
      <c r="K49" s="161">
        <f>ROUND((H49)*I49/1000*J49,1)</f>
        <v>22.8</v>
      </c>
      <c r="L49" s="269"/>
      <c r="M49" s="270">
        <v>9081</v>
      </c>
      <c r="N49" s="271">
        <v>0.228</v>
      </c>
      <c r="O49" s="161">
        <f t="shared" si="3"/>
        <v>0</v>
      </c>
      <c r="P49" s="161">
        <f t="shared" si="2"/>
        <v>22.8</v>
      </c>
      <c r="Q49" s="163">
        <f>'Общехоз.'!T49-'Общехоз.  на образование'!P49</f>
        <v>0</v>
      </c>
      <c r="R49" s="163"/>
      <c r="S49" s="198"/>
      <c r="T49" s="163"/>
    </row>
    <row r="50" spans="1:20" s="165" customFormat="1" ht="15.75">
      <c r="A50" s="159">
        <v>43</v>
      </c>
      <c r="B50" s="160" t="s">
        <v>44</v>
      </c>
      <c r="C50" s="206">
        <v>23714</v>
      </c>
      <c r="D50" s="35"/>
      <c r="E50" s="202">
        <v>9081</v>
      </c>
      <c r="F50" s="203">
        <f>ROUND(C50/E50,3)</f>
        <v>2.611</v>
      </c>
      <c r="G50" s="204">
        <f t="shared" si="1"/>
        <v>0</v>
      </c>
      <c r="H50" s="208">
        <v>21</v>
      </c>
      <c r="I50" s="202">
        <v>9081</v>
      </c>
      <c r="J50" s="203">
        <v>2.745</v>
      </c>
      <c r="K50" s="161">
        <f>ROUND((H50)*I50/1000*J50,1)+0.4</f>
        <v>523.9</v>
      </c>
      <c r="L50" s="269"/>
      <c r="M50" s="270">
        <v>9081</v>
      </c>
      <c r="N50" s="271">
        <v>2.745</v>
      </c>
      <c r="O50" s="161">
        <f t="shared" si="3"/>
        <v>0</v>
      </c>
      <c r="P50" s="161">
        <f t="shared" si="2"/>
        <v>523.9</v>
      </c>
      <c r="Q50" s="163">
        <f>'Общехоз.'!T50-'Общехоз.  на образование'!P50</f>
        <v>0</v>
      </c>
      <c r="R50" s="163"/>
      <c r="S50" s="198"/>
      <c r="T50" s="163"/>
    </row>
    <row r="51" spans="1:20" s="165" customFormat="1" ht="34.5" customHeight="1">
      <c r="A51" s="166">
        <v>44</v>
      </c>
      <c r="B51" s="167" t="s">
        <v>45</v>
      </c>
      <c r="C51" s="220">
        <v>34256</v>
      </c>
      <c r="D51" s="36"/>
      <c r="E51" s="202">
        <v>9081</v>
      </c>
      <c r="F51" s="203">
        <f>ROUND(C51/E51,3)</f>
        <v>3.772</v>
      </c>
      <c r="G51" s="204">
        <f t="shared" si="1"/>
        <v>0</v>
      </c>
      <c r="H51" s="226">
        <v>9</v>
      </c>
      <c r="I51" s="202">
        <v>9081</v>
      </c>
      <c r="J51" s="203">
        <v>3.982</v>
      </c>
      <c r="K51" s="161">
        <f>ROUND((H51)*I51/1000*J51,1)+0.2</f>
        <v>325.59999999999997</v>
      </c>
      <c r="L51" s="270"/>
      <c r="M51" s="270">
        <v>9081</v>
      </c>
      <c r="N51" s="271">
        <v>3.982</v>
      </c>
      <c r="O51" s="161">
        <f t="shared" si="3"/>
        <v>0</v>
      </c>
      <c r="P51" s="161">
        <f t="shared" si="2"/>
        <v>325.59999999999997</v>
      </c>
      <c r="Q51" s="163">
        <f>'Общехоз.'!T51-'Общехоз.  на образование'!P51</f>
        <v>0</v>
      </c>
      <c r="R51" s="163"/>
      <c r="S51" s="198"/>
      <c r="T51" s="163"/>
    </row>
    <row r="52" spans="1:21" s="169" customFormat="1" ht="31.5">
      <c r="A52" s="233">
        <v>45</v>
      </c>
      <c r="B52" s="234" t="s">
        <v>46</v>
      </c>
      <c r="C52" s="235">
        <v>26447</v>
      </c>
      <c r="D52" s="236"/>
      <c r="E52" s="238">
        <v>9081</v>
      </c>
      <c r="F52" s="239">
        <f>ROUND(C52/E52,3)</f>
        <v>2.912</v>
      </c>
      <c r="G52" s="240">
        <f t="shared" si="1"/>
        <v>0</v>
      </c>
      <c r="H52" s="241">
        <v>17</v>
      </c>
      <c r="I52" s="238">
        <v>9081</v>
      </c>
      <c r="J52" s="239">
        <v>3.06</v>
      </c>
      <c r="K52" s="161">
        <f>ROUND((H52)*I52/1000*J52,1)</f>
        <v>472.4</v>
      </c>
      <c r="L52" s="272"/>
      <c r="M52" s="272">
        <v>9081</v>
      </c>
      <c r="N52" s="273">
        <v>3.06</v>
      </c>
      <c r="O52" s="161">
        <f t="shared" si="3"/>
        <v>0</v>
      </c>
      <c r="P52" s="161">
        <f t="shared" si="2"/>
        <v>472.4</v>
      </c>
      <c r="Q52" s="163">
        <f>'Общехоз.'!T52-'Общехоз.  на образование'!P52</f>
        <v>0</v>
      </c>
      <c r="R52" s="58"/>
      <c r="S52" s="198"/>
      <c r="T52" s="163"/>
      <c r="U52" s="165"/>
    </row>
    <row r="53" spans="1:20" s="175" customFormat="1" ht="52.5" customHeight="1">
      <c r="A53" s="244"/>
      <c r="B53" s="177" t="s">
        <v>55</v>
      </c>
      <c r="C53" s="177"/>
      <c r="D53" s="61">
        <f>SUM(D8:D52)</f>
        <v>405</v>
      </c>
      <c r="E53" s="61"/>
      <c r="F53" s="171"/>
      <c r="G53" s="245"/>
      <c r="H53" s="61">
        <f>SUM(H8:H52)</f>
        <v>2832</v>
      </c>
      <c r="I53" s="61"/>
      <c r="J53" s="246"/>
      <c r="K53" s="172">
        <f>SUM(K8:K52)</f>
        <v>41365.9</v>
      </c>
      <c r="L53" s="61">
        <f>SUM(L8:L52)</f>
        <v>305</v>
      </c>
      <c r="M53" s="172"/>
      <c r="N53" s="172"/>
      <c r="O53" s="172"/>
      <c r="P53" s="172">
        <f>SUM(P8:P52)</f>
        <v>48873.2</v>
      </c>
      <c r="Q53" s="172">
        <f>SUM(Q8:Q52)</f>
        <v>0</v>
      </c>
      <c r="R53" s="173"/>
      <c r="S53" s="174"/>
      <c r="T53" s="174"/>
    </row>
    <row r="54" spans="1:20" s="165" customFormat="1" ht="15.75" hidden="1">
      <c r="A54" s="170">
        <v>46</v>
      </c>
      <c r="B54" s="227" t="s">
        <v>105</v>
      </c>
      <c r="C54" s="227"/>
      <c r="D54" s="228">
        <v>15</v>
      </c>
      <c r="E54" s="202">
        <v>5019</v>
      </c>
      <c r="F54" s="230"/>
      <c r="G54" s="204">
        <f>ROUND((D54)*E54*F54/1000,1)</f>
        <v>0</v>
      </c>
      <c r="H54" s="228">
        <v>98</v>
      </c>
      <c r="I54" s="202">
        <v>5019</v>
      </c>
      <c r="J54" s="231"/>
      <c r="K54" s="161">
        <f>ROUND((H54)*I54/1000*J54,1)</f>
        <v>0</v>
      </c>
      <c r="L54" s="162"/>
      <c r="M54" s="162"/>
      <c r="N54" s="162"/>
      <c r="O54" s="162"/>
      <c r="P54" s="162" t="e">
        <f>G54+#REF!+#REF!+K54+#REF!+#REF!</f>
        <v>#REF!</v>
      </c>
      <c r="Q54" s="232"/>
      <c r="R54" s="232"/>
      <c r="S54" s="232"/>
      <c r="T54" s="232"/>
    </row>
    <row r="55" spans="1:20" s="165" customFormat="1" ht="15.75" hidden="1">
      <c r="A55" s="170">
        <v>47</v>
      </c>
      <c r="B55" s="227" t="s">
        <v>106</v>
      </c>
      <c r="C55" s="227"/>
      <c r="D55" s="229"/>
      <c r="E55" s="202">
        <v>5019</v>
      </c>
      <c r="F55" s="230"/>
      <c r="G55" s="204">
        <f>ROUND((D55)*E55*F55/1000,1)</f>
        <v>0</v>
      </c>
      <c r="H55" s="228">
        <v>11</v>
      </c>
      <c r="I55" s="202">
        <v>5019</v>
      </c>
      <c r="J55" s="203"/>
      <c r="K55" s="161">
        <f>ROUND((H55)*I55/1000*J55,1)</f>
        <v>0</v>
      </c>
      <c r="L55" s="162"/>
      <c r="M55" s="162"/>
      <c r="N55" s="162"/>
      <c r="O55" s="162"/>
      <c r="P55" s="162" t="e">
        <f>G55+#REF!+#REF!+K55+#REF!+#REF!</f>
        <v>#REF!</v>
      </c>
      <c r="Q55" s="232"/>
      <c r="R55" s="232"/>
      <c r="S55" s="232"/>
      <c r="T55" s="232"/>
    </row>
    <row r="56" spans="1:19" s="175" customFormat="1" ht="47.25" hidden="1">
      <c r="A56" s="176"/>
      <c r="B56" s="177" t="s">
        <v>107</v>
      </c>
      <c r="C56" s="177"/>
      <c r="D56" s="61">
        <f>SUM(D54:D55)</f>
        <v>15</v>
      </c>
      <c r="E56" s="171"/>
      <c r="F56" s="171"/>
      <c r="G56" s="178">
        <f>SUM(G54:G55)</f>
        <v>0</v>
      </c>
      <c r="H56" s="61">
        <f>SUM(H54:H55)</f>
        <v>109</v>
      </c>
      <c r="I56" s="171"/>
      <c r="J56" s="171"/>
      <c r="K56" s="172">
        <f>SUM(K54:K55)</f>
        <v>0</v>
      </c>
      <c r="L56" s="173"/>
      <c r="M56" s="173"/>
      <c r="N56" s="173"/>
      <c r="O56" s="173"/>
      <c r="P56" s="173" t="e">
        <f>SUM(P54:P55)</f>
        <v>#REF!</v>
      </c>
      <c r="Q56" s="179"/>
      <c r="R56" s="179"/>
      <c r="S56" s="179"/>
    </row>
    <row r="57" spans="1:10" ht="18" customHeight="1">
      <c r="A57" s="180"/>
      <c r="B57" s="181"/>
      <c r="C57" s="181"/>
      <c r="D57" s="181"/>
      <c r="E57" s="182"/>
      <c r="F57" s="182"/>
      <c r="G57" s="182"/>
      <c r="H57" s="182"/>
      <c r="I57" s="182"/>
      <c r="J57" s="182"/>
    </row>
    <row r="58" spans="1:10" ht="15.75">
      <c r="A58" s="183"/>
      <c r="B58" s="184"/>
      <c r="C58" s="184"/>
      <c r="D58" s="274"/>
      <c r="E58" s="185"/>
      <c r="F58" s="185"/>
      <c r="G58" s="185"/>
      <c r="H58" s="185"/>
      <c r="I58" s="185"/>
      <c r="J58" s="185"/>
    </row>
    <row r="59" spans="1:10" ht="15.75">
      <c r="A59" s="183"/>
      <c r="B59" s="184"/>
      <c r="C59" s="184"/>
      <c r="D59" s="184"/>
      <c r="E59" s="186"/>
      <c r="F59" s="186"/>
      <c r="G59" s="186"/>
      <c r="H59" s="187"/>
      <c r="I59" s="187"/>
      <c r="J59" s="187"/>
    </row>
    <row r="60" spans="1:18" ht="15.75">
      <c r="A60" s="183"/>
      <c r="B60" s="184"/>
      <c r="C60" s="184"/>
      <c r="D60" s="184"/>
      <c r="E60" s="186"/>
      <c r="F60" s="186"/>
      <c r="G60" s="186"/>
      <c r="H60" s="187"/>
      <c r="I60" s="187"/>
      <c r="J60" s="187"/>
      <c r="R60" s="188"/>
    </row>
    <row r="61" spans="1:10" ht="15.75">
      <c r="A61" s="183"/>
      <c r="B61" s="184"/>
      <c r="C61" s="184"/>
      <c r="D61" s="184"/>
      <c r="E61" s="186"/>
      <c r="F61" s="186"/>
      <c r="G61" s="186"/>
      <c r="H61" s="187"/>
      <c r="I61" s="187"/>
      <c r="J61" s="187"/>
    </row>
    <row r="62" spans="1:17" ht="15.75">
      <c r="A62" s="183"/>
      <c r="B62" s="189"/>
      <c r="C62" s="189"/>
      <c r="D62" s="189"/>
      <c r="E62" s="189"/>
      <c r="F62" s="189"/>
      <c r="G62" s="189"/>
      <c r="H62" s="187"/>
      <c r="I62" s="187"/>
      <c r="J62" s="187"/>
      <c r="Q62" s="188"/>
    </row>
    <row r="63" spans="1:10" ht="15.75">
      <c r="A63" s="183"/>
      <c r="B63" s="189"/>
      <c r="C63" s="189"/>
      <c r="D63" s="189"/>
      <c r="E63" s="189"/>
      <c r="F63" s="189"/>
      <c r="G63" s="189"/>
      <c r="H63" s="187"/>
      <c r="I63" s="187"/>
      <c r="J63" s="187"/>
    </row>
    <row r="64" spans="1:10" ht="16.5" customHeight="1">
      <c r="A64" s="183"/>
      <c r="B64" s="184"/>
      <c r="C64" s="184"/>
      <c r="D64" s="184"/>
      <c r="E64" s="184"/>
      <c r="F64" s="184"/>
      <c r="G64" s="184"/>
      <c r="H64" s="187"/>
      <c r="I64" s="187"/>
      <c r="J64" s="187"/>
    </row>
    <row r="65" spans="1:10" ht="15.75">
      <c r="A65" s="183"/>
      <c r="B65" s="184"/>
      <c r="C65" s="184"/>
      <c r="D65" s="184"/>
      <c r="E65" s="184"/>
      <c r="F65" s="184"/>
      <c r="G65" s="184"/>
      <c r="H65" s="187"/>
      <c r="I65" s="187"/>
      <c r="J65" s="187"/>
    </row>
    <row r="66" spans="1:10" ht="15.75">
      <c r="A66" s="183"/>
      <c r="B66" s="184"/>
      <c r="C66" s="184"/>
      <c r="D66" s="184"/>
      <c r="E66" s="184"/>
      <c r="F66" s="184"/>
      <c r="G66" s="184"/>
      <c r="H66" s="187"/>
      <c r="I66" s="187"/>
      <c r="J66" s="187"/>
    </row>
    <row r="67" spans="1:10" ht="15.75">
      <c r="A67" s="183"/>
      <c r="B67" s="184"/>
      <c r="C67" s="184"/>
      <c r="D67" s="184"/>
      <c r="E67" s="184"/>
      <c r="F67" s="184"/>
      <c r="G67" s="184"/>
      <c r="H67" s="187"/>
      <c r="I67" s="187"/>
      <c r="J67" s="187"/>
    </row>
    <row r="68" spans="1:10" ht="15.75">
      <c r="A68" s="183"/>
      <c r="B68" s="184"/>
      <c r="C68" s="184"/>
      <c r="D68" s="184"/>
      <c r="E68" s="184"/>
      <c r="F68" s="184"/>
      <c r="G68" s="184"/>
      <c r="H68" s="187"/>
      <c r="I68" s="187"/>
      <c r="J68" s="187"/>
    </row>
    <row r="69" spans="1:10" ht="15.75">
      <c r="A69" s="183"/>
      <c r="B69" s="184"/>
      <c r="C69" s="184"/>
      <c r="D69" s="184"/>
      <c r="E69" s="184"/>
      <c r="F69" s="184"/>
      <c r="G69" s="184"/>
      <c r="H69" s="187"/>
      <c r="I69" s="187"/>
      <c r="J69" s="187"/>
    </row>
    <row r="70" spans="1:10" ht="15.75">
      <c r="A70" s="183"/>
      <c r="B70" s="190"/>
      <c r="C70" s="190"/>
      <c r="D70" s="190"/>
      <c r="E70" s="190"/>
      <c r="F70" s="190"/>
      <c r="G70" s="190"/>
      <c r="H70" s="191"/>
      <c r="I70" s="191"/>
      <c r="J70" s="191"/>
    </row>
    <row r="71" spans="1:10" s="192" customFormat="1" ht="16.5" customHeight="1">
      <c r="A71" s="378"/>
      <c r="B71" s="378"/>
      <c r="C71" s="378"/>
      <c r="D71" s="378"/>
      <c r="E71" s="378"/>
      <c r="F71" s="378"/>
      <c r="G71" s="378"/>
      <c r="H71" s="378"/>
      <c r="I71" s="378"/>
      <c r="J71" s="378"/>
    </row>
    <row r="72" spans="1:10" ht="15.75">
      <c r="A72" s="183"/>
      <c r="B72" s="189"/>
      <c r="C72" s="189"/>
      <c r="D72" s="189"/>
      <c r="E72" s="189"/>
      <c r="F72" s="189"/>
      <c r="G72" s="189"/>
      <c r="H72" s="187"/>
      <c r="I72" s="187"/>
      <c r="J72" s="187"/>
    </row>
    <row r="73" spans="1:10" ht="15.75">
      <c r="A73" s="183"/>
      <c r="B73" s="189"/>
      <c r="C73" s="189"/>
      <c r="D73" s="189"/>
      <c r="E73" s="189"/>
      <c r="F73" s="189"/>
      <c r="G73" s="189"/>
      <c r="H73" s="187"/>
      <c r="I73" s="187"/>
      <c r="J73" s="187"/>
    </row>
    <row r="74" spans="1:10" ht="15.75">
      <c r="A74" s="183"/>
      <c r="B74" s="189"/>
      <c r="C74" s="189"/>
      <c r="D74" s="189"/>
      <c r="E74" s="189"/>
      <c r="F74" s="189"/>
      <c r="G74" s="189"/>
      <c r="H74" s="187"/>
      <c r="I74" s="187"/>
      <c r="J74" s="187"/>
    </row>
    <row r="75" spans="1:10" ht="15.75">
      <c r="A75" s="183"/>
      <c r="B75" s="189"/>
      <c r="C75" s="189"/>
      <c r="D75" s="189"/>
      <c r="E75" s="189"/>
      <c r="F75" s="189"/>
      <c r="G75" s="189"/>
      <c r="H75" s="187"/>
      <c r="I75" s="187"/>
      <c r="J75" s="187"/>
    </row>
    <row r="76" spans="1:10" ht="18" customHeight="1">
      <c r="A76" s="183"/>
      <c r="B76" s="189"/>
      <c r="C76" s="189"/>
      <c r="D76" s="189"/>
      <c r="E76" s="189"/>
      <c r="F76" s="189"/>
      <c r="G76" s="189"/>
      <c r="H76" s="187"/>
      <c r="I76" s="187"/>
      <c r="J76" s="187"/>
    </row>
    <row r="77" spans="1:10" ht="15.75">
      <c r="A77" s="183"/>
      <c r="B77" s="189"/>
      <c r="C77" s="189"/>
      <c r="D77" s="189"/>
      <c r="E77" s="189"/>
      <c r="F77" s="189"/>
      <c r="G77" s="189"/>
      <c r="H77" s="187"/>
      <c r="I77" s="187"/>
      <c r="J77" s="187"/>
    </row>
    <row r="78" spans="1:10" ht="15.75">
      <c r="A78" s="183"/>
      <c r="B78" s="189"/>
      <c r="C78" s="189"/>
      <c r="D78" s="189"/>
      <c r="E78" s="189"/>
      <c r="F78" s="189"/>
      <c r="G78" s="189"/>
      <c r="H78" s="187"/>
      <c r="I78" s="187"/>
      <c r="J78" s="187"/>
    </row>
    <row r="79" spans="1:10" ht="15.75">
      <c r="A79" s="183"/>
      <c r="B79" s="189"/>
      <c r="C79" s="189"/>
      <c r="D79" s="189"/>
      <c r="E79" s="189"/>
      <c r="F79" s="189"/>
      <c r="G79" s="189"/>
      <c r="H79" s="187"/>
      <c r="I79" s="187"/>
      <c r="J79" s="187"/>
    </row>
    <row r="80" spans="1:10" ht="15.75">
      <c r="A80" s="183"/>
      <c r="B80" s="189"/>
      <c r="C80" s="189"/>
      <c r="D80" s="189"/>
      <c r="E80" s="189"/>
      <c r="F80" s="189"/>
      <c r="G80" s="189"/>
      <c r="H80" s="187"/>
      <c r="I80" s="187"/>
      <c r="J80" s="187"/>
    </row>
    <row r="81" spans="1:10" ht="15.75">
      <c r="A81" s="183"/>
      <c r="B81" s="189"/>
      <c r="C81" s="189"/>
      <c r="D81" s="189"/>
      <c r="E81" s="189"/>
      <c r="F81" s="189"/>
      <c r="G81" s="189"/>
      <c r="H81" s="187"/>
      <c r="I81" s="187"/>
      <c r="J81" s="187"/>
    </row>
    <row r="82" spans="1:10" ht="15.75">
      <c r="A82" s="183"/>
      <c r="B82" s="184"/>
      <c r="C82" s="184"/>
      <c r="D82" s="184"/>
      <c r="E82" s="184"/>
      <c r="F82" s="184"/>
      <c r="G82" s="184"/>
      <c r="H82" s="187"/>
      <c r="I82" s="187"/>
      <c r="J82" s="187"/>
    </row>
    <row r="83" spans="1:10" ht="15.75">
      <c r="A83" s="183"/>
      <c r="B83" s="184"/>
      <c r="C83" s="184"/>
      <c r="D83" s="184"/>
      <c r="E83" s="184"/>
      <c r="F83" s="184"/>
      <c r="G83" s="184"/>
      <c r="H83" s="187"/>
      <c r="I83" s="187"/>
      <c r="J83" s="187"/>
    </row>
    <row r="84" spans="1:10" ht="15.75">
      <c r="A84" s="183"/>
      <c r="B84" s="184"/>
      <c r="C84" s="184"/>
      <c r="D84" s="184"/>
      <c r="E84" s="184"/>
      <c r="F84" s="184"/>
      <c r="G84" s="184"/>
      <c r="H84" s="187"/>
      <c r="I84" s="187"/>
      <c r="J84" s="187"/>
    </row>
    <row r="85" spans="1:10" ht="15.75">
      <c r="A85" s="183"/>
      <c r="B85" s="184"/>
      <c r="C85" s="184"/>
      <c r="D85" s="184"/>
      <c r="E85" s="184"/>
      <c r="F85" s="184"/>
      <c r="G85" s="184"/>
      <c r="H85" s="187"/>
      <c r="I85" s="187"/>
      <c r="J85" s="187"/>
    </row>
    <row r="86" spans="1:10" ht="15.75">
      <c r="A86" s="183"/>
      <c r="B86" s="184"/>
      <c r="C86" s="184"/>
      <c r="D86" s="184"/>
      <c r="E86" s="184"/>
      <c r="F86" s="184"/>
      <c r="G86" s="184"/>
      <c r="H86" s="187"/>
      <c r="I86" s="187"/>
      <c r="J86" s="187"/>
    </row>
    <row r="87" spans="1:10" ht="15.75">
      <c r="A87" s="183"/>
      <c r="B87" s="184"/>
      <c r="C87" s="184"/>
      <c r="D87" s="184"/>
      <c r="E87" s="184"/>
      <c r="F87" s="184"/>
      <c r="G87" s="184"/>
      <c r="H87" s="187"/>
      <c r="I87" s="187"/>
      <c r="J87" s="187"/>
    </row>
    <row r="88" spans="1:10" ht="15.75">
      <c r="A88" s="183"/>
      <c r="B88" s="184"/>
      <c r="C88" s="184"/>
      <c r="D88" s="184"/>
      <c r="E88" s="184"/>
      <c r="F88" s="184"/>
      <c r="G88" s="184"/>
      <c r="H88" s="187"/>
      <c r="I88" s="187"/>
      <c r="J88" s="187"/>
    </row>
    <row r="89" spans="1:10" ht="15.75">
      <c r="A89" s="183"/>
      <c r="B89" s="184"/>
      <c r="C89" s="184"/>
      <c r="D89" s="184"/>
      <c r="E89" s="184"/>
      <c r="F89" s="184"/>
      <c r="G89" s="184"/>
      <c r="H89" s="187"/>
      <c r="I89" s="187"/>
      <c r="J89" s="187"/>
    </row>
    <row r="90" spans="1:10" ht="15.75">
      <c r="A90" s="183"/>
      <c r="B90" s="184"/>
      <c r="C90" s="184"/>
      <c r="D90" s="184"/>
      <c r="E90" s="184"/>
      <c r="F90" s="184"/>
      <c r="G90" s="184"/>
      <c r="H90" s="187"/>
      <c r="I90" s="187"/>
      <c r="J90" s="187"/>
    </row>
    <row r="91" spans="1:10" ht="15.75">
      <c r="A91" s="183"/>
      <c r="B91" s="184"/>
      <c r="C91" s="184"/>
      <c r="D91" s="184"/>
      <c r="E91" s="184"/>
      <c r="F91" s="184"/>
      <c r="G91" s="184"/>
      <c r="H91" s="187"/>
      <c r="I91" s="187"/>
      <c r="J91" s="187"/>
    </row>
    <row r="92" spans="1:10" ht="15.75">
      <c r="A92" s="183"/>
      <c r="B92" s="184"/>
      <c r="C92" s="184"/>
      <c r="D92" s="184"/>
      <c r="E92" s="184"/>
      <c r="F92" s="184"/>
      <c r="G92" s="184"/>
      <c r="H92" s="187"/>
      <c r="I92" s="187"/>
      <c r="J92" s="187"/>
    </row>
    <row r="93" spans="1:10" ht="15.75">
      <c r="A93" s="183"/>
      <c r="B93" s="184"/>
      <c r="C93" s="184"/>
      <c r="D93" s="184"/>
      <c r="E93" s="184"/>
      <c r="F93" s="184"/>
      <c r="G93" s="184"/>
      <c r="H93" s="187"/>
      <c r="I93" s="187"/>
      <c r="J93" s="187"/>
    </row>
    <row r="94" spans="1:10" ht="15.75">
      <c r="A94" s="183"/>
      <c r="B94" s="184"/>
      <c r="C94" s="184"/>
      <c r="D94" s="184"/>
      <c r="E94" s="184"/>
      <c r="F94" s="184"/>
      <c r="G94" s="184"/>
      <c r="H94" s="187"/>
      <c r="I94" s="187"/>
      <c r="J94" s="187"/>
    </row>
    <row r="95" spans="1:10" ht="15.75">
      <c r="A95" s="183"/>
      <c r="B95" s="184"/>
      <c r="C95" s="184"/>
      <c r="D95" s="184"/>
      <c r="E95" s="184"/>
      <c r="F95" s="184"/>
      <c r="G95" s="184"/>
      <c r="H95" s="187"/>
      <c r="I95" s="187"/>
      <c r="J95" s="187"/>
    </row>
    <row r="96" spans="1:10" ht="15.75">
      <c r="A96" s="183"/>
      <c r="B96" s="184"/>
      <c r="C96" s="184"/>
      <c r="D96" s="184"/>
      <c r="E96" s="184"/>
      <c r="F96" s="184"/>
      <c r="G96" s="184"/>
      <c r="H96" s="187"/>
      <c r="I96" s="187"/>
      <c r="J96" s="187"/>
    </row>
    <row r="97" spans="1:10" ht="15.75">
      <c r="A97" s="183"/>
      <c r="B97" s="184"/>
      <c r="C97" s="184"/>
      <c r="D97" s="184"/>
      <c r="E97" s="184"/>
      <c r="F97" s="184"/>
      <c r="G97" s="184"/>
      <c r="H97" s="187"/>
      <c r="I97" s="187"/>
      <c r="J97" s="187"/>
    </row>
    <row r="98" spans="1:10" ht="15.75">
      <c r="A98" s="183"/>
      <c r="B98" s="184"/>
      <c r="C98" s="184"/>
      <c r="D98" s="184"/>
      <c r="E98" s="184"/>
      <c r="F98" s="184"/>
      <c r="G98" s="184"/>
      <c r="H98" s="187"/>
      <c r="I98" s="187"/>
      <c r="J98" s="187"/>
    </row>
    <row r="99" spans="1:10" ht="15.75">
      <c r="A99" s="183"/>
      <c r="B99" s="184"/>
      <c r="C99" s="184"/>
      <c r="D99" s="184"/>
      <c r="E99" s="184"/>
      <c r="F99" s="184"/>
      <c r="G99" s="184"/>
      <c r="H99" s="187"/>
      <c r="I99" s="187"/>
      <c r="J99" s="187"/>
    </row>
    <row r="100" spans="1:10" ht="15.75">
      <c r="A100" s="183"/>
      <c r="B100" s="184"/>
      <c r="C100" s="184"/>
      <c r="D100" s="184"/>
      <c r="E100" s="184"/>
      <c r="F100" s="184"/>
      <c r="G100" s="184"/>
      <c r="H100" s="187"/>
      <c r="I100" s="187"/>
      <c r="J100" s="187"/>
    </row>
    <row r="101" spans="1:10" ht="15.75">
      <c r="A101" s="183"/>
      <c r="B101" s="184"/>
      <c r="C101" s="184"/>
      <c r="D101" s="184"/>
      <c r="E101" s="184"/>
      <c r="F101" s="184"/>
      <c r="G101" s="184"/>
      <c r="H101" s="187"/>
      <c r="I101" s="187"/>
      <c r="J101" s="187"/>
    </row>
    <row r="102" spans="1:10" ht="15.75">
      <c r="A102" s="183"/>
      <c r="B102" s="184"/>
      <c r="C102" s="184"/>
      <c r="D102" s="184"/>
      <c r="E102" s="184"/>
      <c r="F102" s="184"/>
      <c r="G102" s="184"/>
      <c r="H102" s="187"/>
      <c r="I102" s="187"/>
      <c r="J102" s="187"/>
    </row>
    <row r="103" spans="1:10" ht="15.75">
      <c r="A103" s="183"/>
      <c r="B103" s="184"/>
      <c r="C103" s="184"/>
      <c r="D103" s="184"/>
      <c r="E103" s="184"/>
      <c r="F103" s="184"/>
      <c r="G103" s="184"/>
      <c r="H103" s="187"/>
      <c r="I103" s="187"/>
      <c r="J103" s="187"/>
    </row>
    <row r="104" spans="1:10" ht="15.75">
      <c r="A104" s="183"/>
      <c r="B104" s="184"/>
      <c r="C104" s="184"/>
      <c r="D104" s="184"/>
      <c r="E104" s="184"/>
      <c r="F104" s="184"/>
      <c r="G104" s="184"/>
      <c r="H104" s="187"/>
      <c r="I104" s="187"/>
      <c r="J104" s="187"/>
    </row>
    <row r="105" spans="1:10" ht="15.75">
      <c r="A105" s="183"/>
      <c r="B105" s="184"/>
      <c r="C105" s="184"/>
      <c r="D105" s="184"/>
      <c r="E105" s="184"/>
      <c r="F105" s="184"/>
      <c r="G105" s="184"/>
      <c r="H105" s="187"/>
      <c r="I105" s="187"/>
      <c r="J105" s="187"/>
    </row>
    <row r="106" spans="1:10" ht="15.75">
      <c r="A106" s="183"/>
      <c r="B106" s="184"/>
      <c r="C106" s="184"/>
      <c r="D106" s="184"/>
      <c r="E106" s="184"/>
      <c r="F106" s="184"/>
      <c r="G106" s="184"/>
      <c r="H106" s="187"/>
      <c r="I106" s="187"/>
      <c r="J106" s="187"/>
    </row>
    <row r="107" spans="1:10" ht="15.75">
      <c r="A107" s="183"/>
      <c r="B107" s="184"/>
      <c r="C107" s="184"/>
      <c r="D107" s="184"/>
      <c r="E107" s="184"/>
      <c r="F107" s="184"/>
      <c r="G107" s="184"/>
      <c r="H107" s="187"/>
      <c r="I107" s="187"/>
      <c r="J107" s="187"/>
    </row>
    <row r="108" spans="1:10" ht="15.75">
      <c r="A108" s="183"/>
      <c r="B108" s="184"/>
      <c r="C108" s="184"/>
      <c r="D108" s="184"/>
      <c r="E108" s="184"/>
      <c r="F108" s="184"/>
      <c r="G108" s="184"/>
      <c r="H108" s="187"/>
      <c r="I108" s="187"/>
      <c r="J108" s="187"/>
    </row>
    <row r="109" spans="1:10" ht="15.75">
      <c r="A109" s="183"/>
      <c r="B109" s="184"/>
      <c r="C109" s="184"/>
      <c r="D109" s="184"/>
      <c r="E109" s="184"/>
      <c r="F109" s="184"/>
      <c r="G109" s="184"/>
      <c r="H109" s="187"/>
      <c r="I109" s="187"/>
      <c r="J109" s="187"/>
    </row>
    <row r="110" spans="1:10" ht="15.75">
      <c r="A110" s="183"/>
      <c r="B110" s="184"/>
      <c r="C110" s="184"/>
      <c r="D110" s="184"/>
      <c r="E110" s="184"/>
      <c r="F110" s="184"/>
      <c r="G110" s="184"/>
      <c r="H110" s="187"/>
      <c r="I110" s="187"/>
      <c r="J110" s="187"/>
    </row>
    <row r="111" spans="1:10" ht="15.75">
      <c r="A111" s="183"/>
      <c r="B111" s="184"/>
      <c r="C111" s="184"/>
      <c r="D111" s="184"/>
      <c r="E111" s="184"/>
      <c r="F111" s="184"/>
      <c r="G111" s="184"/>
      <c r="H111" s="187"/>
      <c r="I111" s="187"/>
      <c r="J111" s="187"/>
    </row>
    <row r="112" spans="1:10" ht="15.75">
      <c r="A112" s="183"/>
      <c r="B112" s="184"/>
      <c r="C112" s="184"/>
      <c r="D112" s="184"/>
      <c r="E112" s="184"/>
      <c r="F112" s="184"/>
      <c r="G112" s="184"/>
      <c r="H112" s="187"/>
      <c r="I112" s="187"/>
      <c r="J112" s="187"/>
    </row>
    <row r="113" spans="1:10" ht="15.75">
      <c r="A113" s="183"/>
      <c r="B113" s="184"/>
      <c r="C113" s="184"/>
      <c r="D113" s="184"/>
      <c r="E113" s="184"/>
      <c r="F113" s="184"/>
      <c r="G113" s="184"/>
      <c r="H113" s="187"/>
      <c r="I113" s="187"/>
      <c r="J113" s="187"/>
    </row>
    <row r="114" spans="1:10" ht="15.75">
      <c r="A114" s="183"/>
      <c r="B114" s="184"/>
      <c r="C114" s="184"/>
      <c r="D114" s="184"/>
      <c r="E114" s="184"/>
      <c r="F114" s="184"/>
      <c r="G114" s="184"/>
      <c r="H114" s="187"/>
      <c r="I114" s="187"/>
      <c r="J114" s="187"/>
    </row>
    <row r="115" spans="1:10" ht="15.75">
      <c r="A115" s="183"/>
      <c r="B115" s="184"/>
      <c r="C115" s="184"/>
      <c r="D115" s="184"/>
      <c r="E115" s="184"/>
      <c r="F115" s="184"/>
      <c r="G115" s="184"/>
      <c r="H115" s="187"/>
      <c r="I115" s="187"/>
      <c r="J115" s="187"/>
    </row>
    <row r="116" spans="1:10" ht="15.75">
      <c r="A116" s="193"/>
      <c r="B116" s="194"/>
      <c r="C116" s="194"/>
      <c r="D116" s="194"/>
      <c r="E116" s="194"/>
      <c r="F116" s="194"/>
      <c r="G116" s="194"/>
      <c r="H116" s="191"/>
      <c r="I116" s="191"/>
      <c r="J116" s="191"/>
    </row>
    <row r="117" spans="1:10" ht="15.75">
      <c r="A117" s="194"/>
      <c r="B117" s="194"/>
      <c r="C117" s="194"/>
      <c r="D117" s="194"/>
      <c r="E117" s="194"/>
      <c r="F117" s="194"/>
      <c r="G117" s="194"/>
      <c r="H117" s="195"/>
      <c r="I117" s="195"/>
      <c r="J117" s="195"/>
    </row>
    <row r="118" spans="1:10" ht="15.75">
      <c r="A118" s="193"/>
      <c r="B118" s="193"/>
      <c r="C118" s="193"/>
      <c r="D118" s="193"/>
      <c r="E118" s="193"/>
      <c r="F118" s="193"/>
      <c r="G118" s="193"/>
      <c r="H118" s="187"/>
      <c r="I118" s="187"/>
      <c r="J118" s="187"/>
    </row>
  </sheetData>
  <sheetProtection/>
  <mergeCells count="25">
    <mergeCell ref="S3:S6"/>
    <mergeCell ref="T3:T6"/>
    <mergeCell ref="C5:C6"/>
    <mergeCell ref="E5:E6"/>
    <mergeCell ref="A3:A6"/>
    <mergeCell ref="B3:B6"/>
    <mergeCell ref="C3:F3"/>
    <mergeCell ref="F5:F6"/>
    <mergeCell ref="G5:G6"/>
    <mergeCell ref="E1:F1"/>
    <mergeCell ref="G3:L3"/>
    <mergeCell ref="M3:P3"/>
    <mergeCell ref="M4:O4"/>
    <mergeCell ref="Q3:Q6"/>
    <mergeCell ref="R3:R6"/>
    <mergeCell ref="A71:J71"/>
    <mergeCell ref="N5:N6"/>
    <mergeCell ref="O5:O6"/>
    <mergeCell ref="P4:P6"/>
    <mergeCell ref="D4:F4"/>
    <mergeCell ref="G4:L4"/>
    <mergeCell ref="I5:I6"/>
    <mergeCell ref="J5:J6"/>
    <mergeCell ref="K5:K6"/>
    <mergeCell ref="M5:M6"/>
  </mergeCells>
  <printOptions horizontalCentered="1"/>
  <pageMargins left="0" right="0" top="0.5905511811023623" bottom="0" header="0" footer="0"/>
  <pageSetup horizontalDpi="600" verticalDpi="600" orientation="portrait" paperSize="9" scale="57" r:id="rId1"/>
  <colBreaks count="1" manualBreakCount="1">
    <brk id="6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14"/>
  <sheetViews>
    <sheetView view="pageBreakPreview" zoomScale="70" zoomScaleNormal="71" zoomScaleSheetLayoutView="70" zoomScalePageLayoutView="0" workbookViewId="0" topLeftCell="A1">
      <pane xSplit="1" ySplit="6" topLeftCell="B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2" sqref="D32"/>
    </sheetView>
  </sheetViews>
  <sheetFormatPr defaultColWidth="9.140625" defaultRowHeight="12.75"/>
  <cols>
    <col min="1" max="1" width="30.8515625" style="247" customWidth="1"/>
    <col min="2" max="2" width="22.00390625" style="247" customWidth="1"/>
    <col min="3" max="3" width="22.28125" style="247" customWidth="1"/>
    <col min="4" max="5" width="22.00390625" style="247" customWidth="1"/>
    <col min="6" max="6" width="0.2890625" style="247" customWidth="1"/>
    <col min="7" max="8" width="24.140625" style="249" hidden="1" customWidth="1"/>
    <col min="9" max="9" width="14.7109375" style="249" customWidth="1"/>
    <col min="10" max="10" width="17.140625" style="249" customWidth="1"/>
    <col min="11" max="11" width="15.28125" style="247" customWidth="1"/>
    <col min="12" max="12" width="16.140625" style="247" customWidth="1"/>
    <col min="13" max="13" width="17.00390625" style="247" customWidth="1"/>
    <col min="14" max="14" width="15.7109375" style="247" customWidth="1"/>
    <col min="15" max="15" width="19.140625" style="247" customWidth="1"/>
    <col min="16" max="16" width="19.8515625" style="247" customWidth="1"/>
    <col min="17" max="17" width="19.00390625" style="247" customWidth="1"/>
    <col min="18" max="18" width="31.00390625" style="247" customWidth="1"/>
    <col min="19" max="16384" width="9.140625" style="247" customWidth="1"/>
  </cols>
  <sheetData>
    <row r="1" spans="1:5" ht="15.75">
      <c r="A1" s="248"/>
      <c r="E1" s="247" t="s">
        <v>129</v>
      </c>
    </row>
    <row r="2" spans="1:7" ht="84.75" customHeight="1">
      <c r="A2" s="356" t="s">
        <v>130</v>
      </c>
      <c r="B2" s="356"/>
      <c r="C2" s="356"/>
      <c r="D2" s="356"/>
      <c r="E2" s="356"/>
      <c r="F2" s="147"/>
      <c r="G2" s="147"/>
    </row>
    <row r="3" ht="15.75" customHeight="1">
      <c r="A3" s="248"/>
    </row>
    <row r="4" spans="1:18" ht="94.5" customHeight="1">
      <c r="A4" s="360" t="s">
        <v>54</v>
      </c>
      <c r="B4" s="360" t="s">
        <v>131</v>
      </c>
      <c r="C4" s="360" t="s">
        <v>128</v>
      </c>
      <c r="D4" s="360" t="s">
        <v>132</v>
      </c>
      <c r="E4" s="360" t="s">
        <v>133</v>
      </c>
      <c r="F4" s="278"/>
      <c r="G4" s="276"/>
      <c r="H4" s="277"/>
      <c r="I4" s="250"/>
      <c r="J4" s="358"/>
      <c r="K4" s="358"/>
      <c r="L4" s="358"/>
      <c r="M4" s="358"/>
      <c r="N4" s="358"/>
      <c r="O4" s="358"/>
      <c r="P4" s="358"/>
      <c r="Q4" s="359"/>
      <c r="R4" s="249"/>
    </row>
    <row r="5" spans="1:18" ht="117.75" customHeight="1">
      <c r="A5" s="361"/>
      <c r="B5" s="361"/>
      <c r="C5" s="361"/>
      <c r="D5" s="361"/>
      <c r="E5" s="361"/>
      <c r="F5" s="279"/>
      <c r="G5" s="149"/>
      <c r="H5" s="251"/>
      <c r="I5" s="250"/>
      <c r="J5" s="358"/>
      <c r="K5" s="358"/>
      <c r="L5" s="358"/>
      <c r="M5" s="358"/>
      <c r="N5" s="358"/>
      <c r="O5" s="358"/>
      <c r="P5" s="358"/>
      <c r="Q5" s="359"/>
      <c r="R5" s="249"/>
    </row>
    <row r="6" spans="1:18" ht="174.75" customHeight="1">
      <c r="A6" s="362"/>
      <c r="B6" s="362"/>
      <c r="C6" s="362"/>
      <c r="D6" s="362"/>
      <c r="E6" s="362"/>
      <c r="F6" s="379" t="s">
        <v>134</v>
      </c>
      <c r="G6" s="380"/>
      <c r="H6" s="149"/>
      <c r="I6" s="250"/>
      <c r="J6" s="358"/>
      <c r="K6" s="358"/>
      <c r="L6" s="358"/>
      <c r="M6" s="358"/>
      <c r="N6" s="358"/>
      <c r="O6" s="358"/>
      <c r="P6" s="358"/>
      <c r="Q6" s="359"/>
      <c r="R6" s="249"/>
    </row>
    <row r="7" spans="1:18" ht="23.25" customHeight="1">
      <c r="A7" s="10" t="s">
        <v>2</v>
      </c>
      <c r="B7" s="252">
        <f>'[4]Полное финобеспечение'!$C7</f>
        <v>1738.1</v>
      </c>
      <c r="C7" s="253">
        <f>Корректировка!G7</f>
        <v>5491.099999999999</v>
      </c>
      <c r="D7" s="252">
        <f>F7+G7</f>
        <v>77</v>
      </c>
      <c r="E7" s="252">
        <f>SUM(B7:D7)</f>
        <v>7306.199999999999</v>
      </c>
      <c r="F7" s="275">
        <v>16.9</v>
      </c>
      <c r="G7" s="252">
        <v>60.1</v>
      </c>
      <c r="H7" s="252"/>
      <c r="I7" s="254"/>
      <c r="J7" s="255"/>
      <c r="K7" s="255"/>
      <c r="L7" s="255"/>
      <c r="M7" s="255"/>
      <c r="N7" s="256"/>
      <c r="O7" s="255"/>
      <c r="P7" s="255"/>
      <c r="Q7" s="249"/>
      <c r="R7" s="249"/>
    </row>
    <row r="8" spans="1:18" ht="15.75">
      <c r="A8" s="10" t="s">
        <v>3</v>
      </c>
      <c r="B8" s="252">
        <f>'[4]Полное финобеспечение'!$C8</f>
        <v>2206.4</v>
      </c>
      <c r="C8" s="253">
        <f>Корректировка!G8</f>
        <v>7006.199999999999</v>
      </c>
      <c r="D8" s="252">
        <f aca="true" t="shared" si="0" ref="D8:D51">F8+G8</f>
        <v>93.6</v>
      </c>
      <c r="E8" s="252">
        <f aca="true" t="shared" si="1" ref="E8:E51">SUM(B8:D8)</f>
        <v>9306.199999999999</v>
      </c>
      <c r="F8" s="275">
        <v>32.5</v>
      </c>
      <c r="G8" s="252">
        <v>61.1</v>
      </c>
      <c r="H8" s="252"/>
      <c r="I8" s="254"/>
      <c r="J8" s="255"/>
      <c r="K8" s="255"/>
      <c r="L8" s="255"/>
      <c r="M8" s="255"/>
      <c r="N8" s="256"/>
      <c r="O8" s="255"/>
      <c r="P8" s="255"/>
      <c r="Q8" s="249"/>
      <c r="R8" s="249"/>
    </row>
    <row r="9" spans="1:18" ht="15.75">
      <c r="A9" s="10" t="s">
        <v>4</v>
      </c>
      <c r="B9" s="252">
        <f>'[4]Полное финобеспечение'!$C9</f>
        <v>2538</v>
      </c>
      <c r="C9" s="253">
        <f>Корректировка!G9</f>
        <v>8377.3</v>
      </c>
      <c r="D9" s="252">
        <f t="shared" si="0"/>
        <v>130.1</v>
      </c>
      <c r="E9" s="252">
        <f t="shared" si="1"/>
        <v>11045.4</v>
      </c>
      <c r="F9" s="275">
        <v>43.1</v>
      </c>
      <c r="G9" s="252">
        <v>87</v>
      </c>
      <c r="H9" s="252"/>
      <c r="I9" s="254"/>
      <c r="J9" s="255"/>
      <c r="K9" s="255"/>
      <c r="L9" s="255"/>
      <c r="M9" s="255"/>
      <c r="N9" s="256"/>
      <c r="O9" s="255"/>
      <c r="P9" s="255"/>
      <c r="Q9" s="249"/>
      <c r="R9" s="249"/>
    </row>
    <row r="10" spans="1:18" ht="15.75" customHeight="1">
      <c r="A10" s="10" t="s">
        <v>5</v>
      </c>
      <c r="B10" s="252">
        <f>'[4]Полное финобеспечение'!$C10</f>
        <v>4266.099999999999</v>
      </c>
      <c r="C10" s="253">
        <f>Корректировка!G10</f>
        <v>16702.3</v>
      </c>
      <c r="D10" s="252">
        <f t="shared" si="0"/>
        <v>261.1</v>
      </c>
      <c r="E10" s="252">
        <f t="shared" si="1"/>
        <v>21229.499999999996</v>
      </c>
      <c r="F10" s="275">
        <v>145.2</v>
      </c>
      <c r="G10" s="252">
        <v>115.9</v>
      </c>
      <c r="H10" s="252"/>
      <c r="I10" s="254"/>
      <c r="J10" s="255"/>
      <c r="K10" s="255"/>
      <c r="L10" s="255"/>
      <c r="M10" s="255"/>
      <c r="N10" s="256"/>
      <c r="O10" s="255"/>
      <c r="P10" s="255"/>
      <c r="Q10" s="249"/>
      <c r="R10" s="249"/>
    </row>
    <row r="11" spans="1:18" ht="15.75">
      <c r="A11" s="10" t="s">
        <v>6</v>
      </c>
      <c r="B11" s="252">
        <f>'[4]Полное финобеспечение'!$C11</f>
        <v>4155.799999999999</v>
      </c>
      <c r="C11" s="253">
        <f>Корректировка!G11</f>
        <v>17117.1</v>
      </c>
      <c r="D11" s="252">
        <f t="shared" si="0"/>
        <v>280.1</v>
      </c>
      <c r="E11" s="252">
        <f t="shared" si="1"/>
        <v>21552.999999999996</v>
      </c>
      <c r="F11" s="275">
        <v>164.3</v>
      </c>
      <c r="G11" s="252">
        <v>115.8</v>
      </c>
      <c r="H11" s="252"/>
      <c r="I11" s="254"/>
      <c r="J11" s="255"/>
      <c r="K11" s="255"/>
      <c r="L11" s="255"/>
      <c r="M11" s="255"/>
      <c r="N11" s="256"/>
      <c r="O11" s="255"/>
      <c r="P11" s="255"/>
      <c r="Q11" s="249"/>
      <c r="R11" s="249"/>
    </row>
    <row r="12" spans="1:18" ht="15.75">
      <c r="A12" s="10" t="s">
        <v>7</v>
      </c>
      <c r="B12" s="252">
        <f>'[4]Полное финобеспечение'!$C12</f>
        <v>2275.2</v>
      </c>
      <c r="C12" s="253">
        <f>Корректировка!G12</f>
        <v>8220.199999999999</v>
      </c>
      <c r="D12" s="252">
        <f t="shared" si="0"/>
        <v>87.3</v>
      </c>
      <c r="E12" s="252">
        <f t="shared" si="1"/>
        <v>10582.699999999997</v>
      </c>
      <c r="F12" s="280">
        <v>1.6</v>
      </c>
      <c r="G12" s="281">
        <v>85.7</v>
      </c>
      <c r="H12" s="252"/>
      <c r="I12" s="254"/>
      <c r="J12" s="255"/>
      <c r="K12" s="255"/>
      <c r="L12" s="255"/>
      <c r="M12" s="255"/>
      <c r="N12" s="256"/>
      <c r="O12" s="255"/>
      <c r="P12" s="255"/>
      <c r="Q12" s="257"/>
      <c r="R12" s="249"/>
    </row>
    <row r="13" spans="1:18" ht="15.75" customHeight="1">
      <c r="A13" s="10" t="s">
        <v>8</v>
      </c>
      <c r="B13" s="252">
        <f>'[4]Полное финобеспечение'!$C13</f>
        <v>3828.5000000000005</v>
      </c>
      <c r="C13" s="253">
        <f>Корректировка!G13</f>
        <v>18012.9</v>
      </c>
      <c r="D13" s="252">
        <f t="shared" si="0"/>
        <v>426.4</v>
      </c>
      <c r="E13" s="252">
        <f t="shared" si="1"/>
        <v>22267.800000000003</v>
      </c>
      <c r="F13" s="280">
        <v>290</v>
      </c>
      <c r="G13" s="281">
        <v>136.4</v>
      </c>
      <c r="H13" s="252"/>
      <c r="I13" s="254"/>
      <c r="J13" s="255"/>
      <c r="K13" s="255"/>
      <c r="L13" s="255"/>
      <c r="M13" s="255"/>
      <c r="N13" s="256"/>
      <c r="O13" s="255"/>
      <c r="P13" s="255"/>
      <c r="Q13" s="249"/>
      <c r="R13" s="249"/>
    </row>
    <row r="14" spans="1:18" ht="15.75">
      <c r="A14" s="10" t="s">
        <v>9</v>
      </c>
      <c r="B14" s="252">
        <f>'[4]Полное финобеспечение'!$C14</f>
        <v>3904.4999999999995</v>
      </c>
      <c r="C14" s="253">
        <f>Корректировка!G14</f>
        <v>17569.2</v>
      </c>
      <c r="D14" s="252">
        <f t="shared" si="0"/>
        <v>230.9</v>
      </c>
      <c r="E14" s="252">
        <f t="shared" si="1"/>
        <v>21704.600000000002</v>
      </c>
      <c r="F14" s="280">
        <v>139.8</v>
      </c>
      <c r="G14" s="281">
        <v>91.1</v>
      </c>
      <c r="H14" s="252"/>
      <c r="I14" s="254"/>
      <c r="J14" s="255"/>
      <c r="K14" s="255"/>
      <c r="L14" s="255"/>
      <c r="M14" s="255"/>
      <c r="N14" s="256"/>
      <c r="O14" s="255"/>
      <c r="P14" s="255"/>
      <c r="Q14" s="249"/>
      <c r="R14" s="249"/>
    </row>
    <row r="15" spans="1:18" ht="15.75">
      <c r="A15" s="10" t="s">
        <v>10</v>
      </c>
      <c r="B15" s="252">
        <f>'[4]Полное финобеспечение'!$C15</f>
        <v>4352.5</v>
      </c>
      <c r="C15" s="253">
        <f>Корректировка!G15</f>
        <v>16409.3</v>
      </c>
      <c r="D15" s="252">
        <f t="shared" si="0"/>
        <v>394.3</v>
      </c>
      <c r="E15" s="252">
        <f t="shared" si="1"/>
        <v>21156.1</v>
      </c>
      <c r="F15" s="280">
        <v>299.5</v>
      </c>
      <c r="G15" s="281">
        <v>94.8</v>
      </c>
      <c r="H15" s="252"/>
      <c r="I15" s="254"/>
      <c r="J15" s="255"/>
      <c r="K15" s="255"/>
      <c r="L15" s="255"/>
      <c r="M15" s="255"/>
      <c r="N15" s="249"/>
      <c r="O15" s="255"/>
      <c r="P15" s="255"/>
      <c r="Q15" s="257"/>
      <c r="R15" s="249"/>
    </row>
    <row r="16" spans="1:18" ht="15.75" customHeight="1">
      <c r="A16" s="10" t="s">
        <v>11</v>
      </c>
      <c r="B16" s="252">
        <f>'[4]Полное финобеспечение'!$C16</f>
        <v>3896.7</v>
      </c>
      <c r="C16" s="253">
        <f>Корректировка!G16</f>
        <v>16072.7</v>
      </c>
      <c r="D16" s="252">
        <f t="shared" si="0"/>
        <v>604.9</v>
      </c>
      <c r="E16" s="252">
        <f t="shared" si="1"/>
        <v>20574.300000000003</v>
      </c>
      <c r="F16" s="280">
        <v>462.3</v>
      </c>
      <c r="G16" s="281">
        <v>142.6</v>
      </c>
      <c r="H16" s="252"/>
      <c r="I16" s="254"/>
      <c r="J16" s="255"/>
      <c r="K16" s="255"/>
      <c r="L16" s="255"/>
      <c r="M16" s="255"/>
      <c r="N16" s="249"/>
      <c r="O16" s="255"/>
      <c r="P16" s="255"/>
      <c r="Q16" s="249"/>
      <c r="R16" s="249"/>
    </row>
    <row r="17" spans="1:18" ht="15.75">
      <c r="A17" s="11" t="s">
        <v>12</v>
      </c>
      <c r="B17" s="252">
        <f>'[4]Полное финобеспечение'!$C17</f>
        <v>2587</v>
      </c>
      <c r="C17" s="253">
        <f>Корректировка!G17</f>
        <v>7487.200000000001</v>
      </c>
      <c r="D17" s="252">
        <f t="shared" si="0"/>
        <v>1206</v>
      </c>
      <c r="E17" s="252">
        <f t="shared" si="1"/>
        <v>11280.2</v>
      </c>
      <c r="F17" s="280">
        <v>1201</v>
      </c>
      <c r="G17" s="282">
        <v>5</v>
      </c>
      <c r="H17" s="252"/>
      <c r="I17" s="254"/>
      <c r="J17" s="255"/>
      <c r="K17" s="255"/>
      <c r="L17" s="255"/>
      <c r="M17" s="255"/>
      <c r="N17" s="249"/>
      <c r="O17" s="255"/>
      <c r="P17" s="255"/>
      <c r="Q17" s="249"/>
      <c r="R17" s="249"/>
    </row>
    <row r="18" spans="1:18" ht="15.75">
      <c r="A18" s="10" t="s">
        <v>26</v>
      </c>
      <c r="B18" s="252">
        <f>'[4]Полное финобеспечение'!$C18</f>
        <v>930</v>
      </c>
      <c r="C18" s="253">
        <f>Корректировка!G18</f>
        <v>2008.3999999999999</v>
      </c>
      <c r="D18" s="252">
        <f t="shared" si="0"/>
        <v>6.5</v>
      </c>
      <c r="E18" s="252">
        <f t="shared" si="1"/>
        <v>2944.8999999999996</v>
      </c>
      <c r="F18" s="280">
        <v>0.5</v>
      </c>
      <c r="G18" s="281">
        <v>6</v>
      </c>
      <c r="H18" s="252"/>
      <c r="I18" s="254"/>
      <c r="J18" s="255"/>
      <c r="K18" s="255"/>
      <c r="L18" s="255"/>
      <c r="M18" s="255"/>
      <c r="N18" s="256"/>
      <c r="O18" s="255"/>
      <c r="P18" s="255"/>
      <c r="Q18" s="249"/>
      <c r="R18" s="249"/>
    </row>
    <row r="19" spans="1:18" ht="15.75" customHeight="1">
      <c r="A19" s="10" t="s">
        <v>25</v>
      </c>
      <c r="B19" s="252">
        <f>'[4]Полное финобеспечение'!$C19</f>
        <v>653.9</v>
      </c>
      <c r="C19" s="253">
        <f>Корректировка!G19</f>
        <v>1988.3</v>
      </c>
      <c r="D19" s="252">
        <f t="shared" si="0"/>
        <v>10.4</v>
      </c>
      <c r="E19" s="252">
        <f t="shared" si="1"/>
        <v>2652.6</v>
      </c>
      <c r="F19" s="280">
        <v>0</v>
      </c>
      <c r="G19" s="281">
        <v>10.4</v>
      </c>
      <c r="H19" s="252"/>
      <c r="I19" s="254"/>
      <c r="J19" s="255"/>
      <c r="K19" s="255"/>
      <c r="L19" s="255"/>
      <c r="M19" s="255"/>
      <c r="N19" s="256"/>
      <c r="O19" s="255"/>
      <c r="P19" s="255"/>
      <c r="Q19" s="257"/>
      <c r="R19" s="249"/>
    </row>
    <row r="20" spans="1:18" ht="15.75">
      <c r="A20" s="10" t="s">
        <v>13</v>
      </c>
      <c r="B20" s="252">
        <f>'[4]Полное финобеспечение'!$C20</f>
        <v>1388.4</v>
      </c>
      <c r="C20" s="253">
        <f>Корректировка!G20</f>
        <v>4050.5999999999995</v>
      </c>
      <c r="D20" s="252">
        <f t="shared" si="0"/>
        <v>4.5</v>
      </c>
      <c r="E20" s="252">
        <f t="shared" si="1"/>
        <v>5443.5</v>
      </c>
      <c r="F20" s="280">
        <v>0</v>
      </c>
      <c r="G20" s="281">
        <v>4.5</v>
      </c>
      <c r="H20" s="252"/>
      <c r="I20" s="254"/>
      <c r="J20" s="255"/>
      <c r="K20" s="255"/>
      <c r="L20" s="255"/>
      <c r="M20" s="255"/>
      <c r="N20" s="256"/>
      <c r="O20" s="255"/>
      <c r="P20" s="255"/>
      <c r="Q20" s="249"/>
      <c r="R20" s="249"/>
    </row>
    <row r="21" spans="1:18" ht="15.75">
      <c r="A21" s="10" t="s">
        <v>14</v>
      </c>
      <c r="B21" s="252">
        <f>'[4]Полное финобеспечение'!$C21</f>
        <v>1086.3</v>
      </c>
      <c r="C21" s="253">
        <f>Корректировка!G21</f>
        <v>3083.8</v>
      </c>
      <c r="D21" s="252">
        <f t="shared" si="0"/>
        <v>4.7</v>
      </c>
      <c r="E21" s="252">
        <f t="shared" si="1"/>
        <v>4174.8</v>
      </c>
      <c r="F21" s="280">
        <v>0</v>
      </c>
      <c r="G21" s="281">
        <v>4.7</v>
      </c>
      <c r="H21" s="252"/>
      <c r="I21" s="254"/>
      <c r="J21" s="255"/>
      <c r="K21" s="255"/>
      <c r="L21" s="255"/>
      <c r="M21" s="255"/>
      <c r="N21" s="256"/>
      <c r="O21" s="255"/>
      <c r="P21" s="255"/>
      <c r="Q21" s="257"/>
      <c r="R21" s="249"/>
    </row>
    <row r="22" spans="1:18" ht="15.75" customHeight="1">
      <c r="A22" s="10" t="s">
        <v>15</v>
      </c>
      <c r="B22" s="252">
        <f>'[4]Полное финобеспечение'!$C22</f>
        <v>1065</v>
      </c>
      <c r="C22" s="253">
        <f>Корректировка!G22</f>
        <v>2984</v>
      </c>
      <c r="D22" s="252">
        <f t="shared" si="0"/>
        <v>3.1</v>
      </c>
      <c r="E22" s="252">
        <f t="shared" si="1"/>
        <v>4052.1</v>
      </c>
      <c r="F22" s="280">
        <v>0</v>
      </c>
      <c r="G22" s="281">
        <v>3.1</v>
      </c>
      <c r="H22" s="252"/>
      <c r="I22" s="254"/>
      <c r="J22" s="255"/>
      <c r="K22" s="255"/>
      <c r="L22" s="255"/>
      <c r="M22" s="255"/>
      <c r="N22" s="256"/>
      <c r="O22" s="255"/>
      <c r="P22" s="255"/>
      <c r="Q22" s="249"/>
      <c r="R22" s="249"/>
    </row>
    <row r="23" spans="1:18" s="259" customFormat="1" ht="16.5" customHeight="1">
      <c r="A23" s="11" t="s">
        <v>16</v>
      </c>
      <c r="B23" s="252">
        <f>'[4]Полное финобеспечение'!$C23</f>
        <v>1195.8</v>
      </c>
      <c r="C23" s="253">
        <f>Корректировка!G23</f>
        <v>3225.8999999999996</v>
      </c>
      <c r="D23" s="252">
        <f t="shared" si="0"/>
        <v>2.1</v>
      </c>
      <c r="E23" s="252">
        <f t="shared" si="1"/>
        <v>4423.8</v>
      </c>
      <c r="F23" s="280">
        <v>0</v>
      </c>
      <c r="G23" s="281">
        <v>2.1</v>
      </c>
      <c r="H23" s="252"/>
      <c r="I23" s="254"/>
      <c r="J23" s="255"/>
      <c r="K23" s="255"/>
      <c r="L23" s="255"/>
      <c r="M23" s="258"/>
      <c r="N23" s="147"/>
      <c r="O23" s="255"/>
      <c r="P23" s="255"/>
      <c r="Q23" s="250"/>
      <c r="R23" s="250"/>
    </row>
    <row r="24" spans="1:18" ht="19.5" customHeight="1">
      <c r="A24" s="10" t="s">
        <v>27</v>
      </c>
      <c r="B24" s="252">
        <f>'[4]Полное финобеспечение'!$C24</f>
        <v>775.6</v>
      </c>
      <c r="C24" s="253">
        <f>Корректировка!G24</f>
        <v>1824.2999999999997</v>
      </c>
      <c r="D24" s="252">
        <f t="shared" si="0"/>
        <v>4.2</v>
      </c>
      <c r="E24" s="252">
        <f t="shared" si="1"/>
        <v>2604.0999999999995</v>
      </c>
      <c r="F24" s="280">
        <v>2.2</v>
      </c>
      <c r="G24" s="281">
        <v>2</v>
      </c>
      <c r="H24" s="252"/>
      <c r="I24" s="254"/>
      <c r="J24" s="255"/>
      <c r="K24" s="255"/>
      <c r="L24" s="255"/>
      <c r="M24" s="255"/>
      <c r="N24" s="256"/>
      <c r="O24" s="255"/>
      <c r="P24" s="255"/>
      <c r="Q24" s="257"/>
      <c r="R24" s="249"/>
    </row>
    <row r="25" spans="1:18" ht="19.5" customHeight="1">
      <c r="A25" s="10" t="s">
        <v>28</v>
      </c>
      <c r="B25" s="252">
        <f>'[4]Полное финобеспечение'!$C25</f>
        <v>804.6</v>
      </c>
      <c r="C25" s="253">
        <f>Корректировка!G25</f>
        <v>1855</v>
      </c>
      <c r="D25" s="252">
        <f t="shared" si="0"/>
        <v>2.5</v>
      </c>
      <c r="E25" s="252">
        <f t="shared" si="1"/>
        <v>2662.1</v>
      </c>
      <c r="F25" s="280">
        <v>0</v>
      </c>
      <c r="G25" s="281">
        <v>2.5</v>
      </c>
      <c r="H25" s="252"/>
      <c r="I25" s="254"/>
      <c r="J25" s="255"/>
      <c r="K25" s="255"/>
      <c r="L25" s="255"/>
      <c r="M25" s="255"/>
      <c r="N25" s="256"/>
      <c r="O25" s="255"/>
      <c r="P25" s="255"/>
      <c r="Q25" s="249"/>
      <c r="R25" s="249"/>
    </row>
    <row r="26" spans="1:18" ht="19.5" customHeight="1">
      <c r="A26" s="10" t="s">
        <v>29</v>
      </c>
      <c r="B26" s="252">
        <f>'[4]Полное финобеспечение'!$C26</f>
        <v>806</v>
      </c>
      <c r="C26" s="253">
        <f>Корректировка!G26</f>
        <v>1872.1999999999998</v>
      </c>
      <c r="D26" s="252">
        <f t="shared" si="0"/>
        <v>0.8</v>
      </c>
      <c r="E26" s="252">
        <f t="shared" si="1"/>
        <v>2679</v>
      </c>
      <c r="F26" s="280">
        <v>0</v>
      </c>
      <c r="G26" s="281">
        <v>0.8</v>
      </c>
      <c r="H26" s="252"/>
      <c r="I26" s="254"/>
      <c r="J26" s="255"/>
      <c r="K26" s="255"/>
      <c r="L26" s="255"/>
      <c r="M26" s="255"/>
      <c r="N26" s="256"/>
      <c r="O26" s="255"/>
      <c r="P26" s="255"/>
      <c r="Q26" s="257"/>
      <c r="R26" s="249"/>
    </row>
    <row r="27" spans="1:18" ht="27.75" customHeight="1">
      <c r="A27" s="10" t="s">
        <v>30</v>
      </c>
      <c r="B27" s="252">
        <f>'[4]Полное финобеспечение'!$C27</f>
        <v>874.4999999999999</v>
      </c>
      <c r="C27" s="253">
        <f>Корректировка!G27</f>
        <v>1957.5</v>
      </c>
      <c r="D27" s="252">
        <f t="shared" si="0"/>
        <v>1.4</v>
      </c>
      <c r="E27" s="252">
        <f t="shared" si="1"/>
        <v>2833.4</v>
      </c>
      <c r="F27" s="280">
        <v>0.4</v>
      </c>
      <c r="G27" s="281">
        <v>1</v>
      </c>
      <c r="H27" s="252"/>
      <c r="I27" s="254"/>
      <c r="J27" s="255"/>
      <c r="K27" s="255"/>
      <c r="L27" s="255"/>
      <c r="M27" s="255"/>
      <c r="N27" s="256"/>
      <c r="O27" s="255"/>
      <c r="P27" s="255"/>
      <c r="Q27" s="257"/>
      <c r="R27" s="249"/>
    </row>
    <row r="28" spans="1:18" ht="22.5" customHeight="1">
      <c r="A28" s="10" t="s">
        <v>17</v>
      </c>
      <c r="B28" s="252">
        <f>'[4]Полное финобеспечение'!$C28</f>
        <v>1644.8999999999999</v>
      </c>
      <c r="C28" s="253">
        <f>Корректировка!G28</f>
        <v>5306.5</v>
      </c>
      <c r="D28" s="252">
        <f t="shared" si="0"/>
        <v>80</v>
      </c>
      <c r="E28" s="252">
        <f t="shared" si="1"/>
        <v>7031.4</v>
      </c>
      <c r="F28" s="280">
        <v>3.6</v>
      </c>
      <c r="G28" s="281">
        <v>76.4</v>
      </c>
      <c r="H28" s="252"/>
      <c r="I28" s="254"/>
      <c r="J28" s="255"/>
      <c r="K28" s="255"/>
      <c r="L28" s="255"/>
      <c r="M28" s="255"/>
      <c r="N28" s="256"/>
      <c r="O28" s="255"/>
      <c r="P28" s="255"/>
      <c r="Q28" s="249"/>
      <c r="R28" s="249"/>
    </row>
    <row r="29" spans="1:18" ht="18.75" customHeight="1">
      <c r="A29" s="10" t="s">
        <v>18</v>
      </c>
      <c r="B29" s="252">
        <f>'[4]Полное финобеспечение'!$C29</f>
        <v>1543.3000000000002</v>
      </c>
      <c r="C29" s="253">
        <f>Корректировка!G29</f>
        <v>6392.500000000001</v>
      </c>
      <c r="D29" s="252">
        <f t="shared" si="0"/>
        <v>69.5</v>
      </c>
      <c r="E29" s="252">
        <f t="shared" si="1"/>
        <v>8005.300000000001</v>
      </c>
      <c r="F29" s="280">
        <v>6.7</v>
      </c>
      <c r="G29" s="281">
        <v>62.8</v>
      </c>
      <c r="H29" s="252"/>
      <c r="I29" s="254"/>
      <c r="J29" s="255"/>
      <c r="K29" s="255"/>
      <c r="L29" s="255"/>
      <c r="M29" s="255"/>
      <c r="N29" s="256"/>
      <c r="O29" s="255"/>
      <c r="P29" s="255"/>
      <c r="Q29" s="249"/>
      <c r="R29" s="249"/>
    </row>
    <row r="30" spans="1:18" s="259" customFormat="1" ht="25.5" customHeight="1">
      <c r="A30" s="11" t="s">
        <v>19</v>
      </c>
      <c r="B30" s="252">
        <f>'[4]Полное финобеспечение'!$C30</f>
        <v>1798.3000000000002</v>
      </c>
      <c r="C30" s="253">
        <f>Корректировка!G30</f>
        <v>7992.599999999999</v>
      </c>
      <c r="D30" s="252">
        <f t="shared" si="0"/>
        <v>125.39999999999999</v>
      </c>
      <c r="E30" s="252">
        <f t="shared" si="1"/>
        <v>9916.3</v>
      </c>
      <c r="F30" s="280">
        <v>37.8</v>
      </c>
      <c r="G30" s="281">
        <v>87.6</v>
      </c>
      <c r="H30" s="252"/>
      <c r="I30" s="254"/>
      <c r="J30" s="255"/>
      <c r="K30" s="255"/>
      <c r="L30" s="255"/>
      <c r="M30" s="258"/>
      <c r="N30" s="147"/>
      <c r="O30" s="255"/>
      <c r="P30" s="255"/>
      <c r="Q30" s="250"/>
      <c r="R30" s="250"/>
    </row>
    <row r="31" spans="1:18" ht="15.75">
      <c r="A31" s="10" t="s">
        <v>20</v>
      </c>
      <c r="B31" s="252">
        <f>'[4]Полное финобеспечение'!$C31</f>
        <v>1693.9999999999998</v>
      </c>
      <c r="C31" s="253">
        <f>Корректировка!G31</f>
        <v>5979.4</v>
      </c>
      <c r="D31" s="252">
        <f t="shared" si="0"/>
        <v>101.2</v>
      </c>
      <c r="E31" s="252">
        <f t="shared" si="1"/>
        <v>7774.599999999999</v>
      </c>
      <c r="F31" s="280">
        <v>95.7</v>
      </c>
      <c r="G31" s="281">
        <v>5.5</v>
      </c>
      <c r="H31" s="252"/>
      <c r="I31" s="254"/>
      <c r="J31" s="255"/>
      <c r="K31" s="255"/>
      <c r="L31" s="255"/>
      <c r="M31" s="255"/>
      <c r="N31" s="249"/>
      <c r="O31" s="255"/>
      <c r="P31" s="255"/>
      <c r="Q31" s="249"/>
      <c r="R31" s="249"/>
    </row>
    <row r="32" spans="1:18" ht="15.75">
      <c r="A32" s="10" t="s">
        <v>21</v>
      </c>
      <c r="B32" s="252">
        <f>'[4]Полное финобеспечение'!$C32</f>
        <v>2113.3</v>
      </c>
      <c r="C32" s="253">
        <f>Корректировка!G32</f>
        <v>7003.7</v>
      </c>
      <c r="D32" s="252">
        <f t="shared" si="0"/>
        <v>12.7</v>
      </c>
      <c r="E32" s="252">
        <f t="shared" si="1"/>
        <v>9129.7</v>
      </c>
      <c r="F32" s="280">
        <v>9.4</v>
      </c>
      <c r="G32" s="281">
        <v>3.3</v>
      </c>
      <c r="H32" s="252"/>
      <c r="I32" s="254"/>
      <c r="J32" s="255"/>
      <c r="K32" s="255"/>
      <c r="L32" s="255"/>
      <c r="M32" s="255"/>
      <c r="N32" s="249"/>
      <c r="O32" s="255"/>
      <c r="P32" s="255"/>
      <c r="Q32" s="249"/>
      <c r="R32" s="249"/>
    </row>
    <row r="33" spans="1:18" ht="20.25" customHeight="1">
      <c r="A33" s="10" t="s">
        <v>31</v>
      </c>
      <c r="B33" s="252">
        <f>'[4]Полное финобеспечение'!$C33</f>
        <v>813.1</v>
      </c>
      <c r="C33" s="253">
        <f>Корректировка!G33</f>
        <v>1870.8</v>
      </c>
      <c r="D33" s="252">
        <f t="shared" si="0"/>
        <v>1.1</v>
      </c>
      <c r="E33" s="252">
        <f t="shared" si="1"/>
        <v>2685</v>
      </c>
      <c r="F33" s="280">
        <v>0</v>
      </c>
      <c r="G33" s="281">
        <v>1.1</v>
      </c>
      <c r="H33" s="252"/>
      <c r="I33" s="254"/>
      <c r="J33" s="255"/>
      <c r="K33" s="255"/>
      <c r="L33" s="255"/>
      <c r="M33" s="255"/>
      <c r="N33" s="256"/>
      <c r="O33" s="255"/>
      <c r="P33" s="255"/>
      <c r="Q33" s="257"/>
      <c r="R33" s="249"/>
    </row>
    <row r="34" spans="1:18" ht="15.75">
      <c r="A34" s="10" t="s">
        <v>32</v>
      </c>
      <c r="B34" s="252">
        <f>'[4]Полное финобеспечение'!$C34</f>
        <v>654</v>
      </c>
      <c r="C34" s="253">
        <f>Корректировка!G34</f>
        <v>1754.4</v>
      </c>
      <c r="D34" s="252">
        <f t="shared" si="0"/>
        <v>2.4</v>
      </c>
      <c r="E34" s="252">
        <f t="shared" si="1"/>
        <v>2410.8</v>
      </c>
      <c r="F34" s="280">
        <v>0</v>
      </c>
      <c r="G34" s="281">
        <v>2.4</v>
      </c>
      <c r="H34" s="252"/>
      <c r="I34" s="254"/>
      <c r="J34" s="255"/>
      <c r="K34" s="255"/>
      <c r="L34" s="255"/>
      <c r="M34" s="255"/>
      <c r="N34" s="256"/>
      <c r="O34" s="255"/>
      <c r="P34" s="255"/>
      <c r="Q34" s="249"/>
      <c r="R34" s="249"/>
    </row>
    <row r="35" spans="1:18" ht="21" customHeight="1">
      <c r="A35" s="10" t="s">
        <v>22</v>
      </c>
      <c r="B35" s="252">
        <f>'[4]Полное финобеспечение'!$C35</f>
        <v>835.2</v>
      </c>
      <c r="C35" s="253">
        <f>Корректировка!G35</f>
        <v>2744.1</v>
      </c>
      <c r="D35" s="252">
        <f t="shared" si="0"/>
        <v>6.3</v>
      </c>
      <c r="E35" s="252">
        <f t="shared" si="1"/>
        <v>3585.6000000000004</v>
      </c>
      <c r="F35" s="280">
        <v>1</v>
      </c>
      <c r="G35" s="281">
        <v>5.3</v>
      </c>
      <c r="H35" s="252"/>
      <c r="I35" s="254"/>
      <c r="J35" s="255"/>
      <c r="K35" s="255"/>
      <c r="L35" s="255"/>
      <c r="M35" s="255"/>
      <c r="N35" s="256"/>
      <c r="O35" s="255"/>
      <c r="P35" s="255"/>
      <c r="Q35" s="249"/>
      <c r="R35" s="249"/>
    </row>
    <row r="36" spans="1:18" ht="21" customHeight="1">
      <c r="A36" s="10" t="s">
        <v>33</v>
      </c>
      <c r="B36" s="252">
        <f>'[4]Полное финобеспечение'!$C36</f>
        <v>859.7</v>
      </c>
      <c r="C36" s="253">
        <f>Корректировка!G36</f>
        <v>1882.3999999999999</v>
      </c>
      <c r="D36" s="252">
        <f t="shared" si="0"/>
        <v>7.7</v>
      </c>
      <c r="E36" s="252">
        <f t="shared" si="1"/>
        <v>2749.7999999999997</v>
      </c>
      <c r="F36" s="280">
        <v>7</v>
      </c>
      <c r="G36" s="281">
        <v>0.7</v>
      </c>
      <c r="H36" s="252"/>
      <c r="I36" s="254"/>
      <c r="J36" s="255"/>
      <c r="K36" s="255"/>
      <c r="L36" s="255"/>
      <c r="M36" s="255"/>
      <c r="N36" s="256"/>
      <c r="O36" s="255"/>
      <c r="P36" s="255"/>
      <c r="Q36" s="249"/>
      <c r="R36" s="249"/>
    </row>
    <row r="37" spans="1:18" ht="15.75">
      <c r="A37" s="10" t="s">
        <v>34</v>
      </c>
      <c r="B37" s="252">
        <f>'[4]Полное финобеспечение'!$C37</f>
        <v>991.9</v>
      </c>
      <c r="C37" s="253">
        <f>Корректировка!G37</f>
        <v>2747.8</v>
      </c>
      <c r="D37" s="252">
        <f t="shared" si="0"/>
        <v>1.3</v>
      </c>
      <c r="E37" s="252">
        <f t="shared" si="1"/>
        <v>3741.0000000000005</v>
      </c>
      <c r="F37" s="280">
        <v>0</v>
      </c>
      <c r="G37" s="281">
        <v>1.3</v>
      </c>
      <c r="H37" s="252"/>
      <c r="I37" s="254"/>
      <c r="J37" s="255"/>
      <c r="K37" s="255"/>
      <c r="L37" s="255"/>
      <c r="M37" s="255"/>
      <c r="N37" s="256"/>
      <c r="O37" s="255"/>
      <c r="P37" s="255"/>
      <c r="Q37" s="249"/>
      <c r="R37" s="249"/>
    </row>
    <row r="38" spans="1:18" ht="15.75">
      <c r="A38" s="10" t="s">
        <v>35</v>
      </c>
      <c r="B38" s="252">
        <f>'[4]Полное финобеспечение'!$C38</f>
        <v>327.5</v>
      </c>
      <c r="C38" s="253">
        <f>Корректировка!G38</f>
        <v>1459</v>
      </c>
      <c r="D38" s="252">
        <f t="shared" si="0"/>
        <v>35</v>
      </c>
      <c r="E38" s="252">
        <f t="shared" si="1"/>
        <v>1821.5</v>
      </c>
      <c r="F38" s="280">
        <v>35</v>
      </c>
      <c r="G38" s="281">
        <v>0</v>
      </c>
      <c r="H38" s="252"/>
      <c r="I38" s="254"/>
      <c r="J38" s="255"/>
      <c r="K38" s="255"/>
      <c r="L38" s="255"/>
      <c r="M38" s="255"/>
      <c r="N38" s="256"/>
      <c r="O38" s="255"/>
      <c r="P38" s="255"/>
      <c r="Q38" s="249"/>
      <c r="R38" s="249"/>
    </row>
    <row r="39" spans="1:18" ht="15.75">
      <c r="A39" s="10" t="s">
        <v>36</v>
      </c>
      <c r="B39" s="252">
        <f>'[4]Полное финобеспечение'!$C39</f>
        <v>1250.2000000000003</v>
      </c>
      <c r="C39" s="253">
        <f>Корректировка!G39</f>
        <v>3411.8999999999996</v>
      </c>
      <c r="D39" s="252">
        <f t="shared" si="0"/>
        <v>5.6</v>
      </c>
      <c r="E39" s="252">
        <f t="shared" si="1"/>
        <v>4667.700000000001</v>
      </c>
      <c r="F39" s="280">
        <v>2.4</v>
      </c>
      <c r="G39" s="281">
        <v>3.2</v>
      </c>
      <c r="H39" s="252"/>
      <c r="I39" s="254"/>
      <c r="J39" s="255"/>
      <c r="K39" s="255"/>
      <c r="L39" s="255"/>
      <c r="M39" s="255"/>
      <c r="N39" s="256"/>
      <c r="O39" s="255"/>
      <c r="P39" s="255"/>
      <c r="Q39" s="257"/>
      <c r="R39" s="249"/>
    </row>
    <row r="40" spans="1:18" s="259" customFormat="1" ht="16.5" customHeight="1">
      <c r="A40" s="11" t="s">
        <v>37</v>
      </c>
      <c r="B40" s="252">
        <f>'[4]Полное финобеспечение'!$C40</f>
        <v>525.6</v>
      </c>
      <c r="C40" s="253">
        <f>Корректировка!G40</f>
        <v>1561.3999999999996</v>
      </c>
      <c r="D40" s="252">
        <f t="shared" si="0"/>
        <v>10.3</v>
      </c>
      <c r="E40" s="252">
        <f t="shared" si="1"/>
        <v>2097.2999999999997</v>
      </c>
      <c r="F40" s="280">
        <v>6</v>
      </c>
      <c r="G40" s="281">
        <v>4.3</v>
      </c>
      <c r="H40" s="252"/>
      <c r="I40" s="254"/>
      <c r="J40" s="255"/>
      <c r="K40" s="255"/>
      <c r="L40" s="255"/>
      <c r="M40" s="258"/>
      <c r="N40" s="147"/>
      <c r="O40" s="255"/>
      <c r="P40" s="255"/>
      <c r="Q40" s="250"/>
      <c r="R40" s="250"/>
    </row>
    <row r="41" spans="1:18" s="259" customFormat="1" ht="15" customHeight="1">
      <c r="A41" s="11" t="s">
        <v>38</v>
      </c>
      <c r="B41" s="252">
        <f>'[4]Полное финобеспечение'!$C41</f>
        <v>929</v>
      </c>
      <c r="C41" s="253">
        <f>Корректировка!G41</f>
        <v>2973.5</v>
      </c>
      <c r="D41" s="252">
        <f t="shared" si="0"/>
        <v>1.8</v>
      </c>
      <c r="E41" s="252">
        <f t="shared" si="1"/>
        <v>3904.3</v>
      </c>
      <c r="F41" s="280">
        <v>0</v>
      </c>
      <c r="G41" s="281">
        <v>1.8</v>
      </c>
      <c r="H41" s="252"/>
      <c r="I41" s="254"/>
      <c r="J41" s="255"/>
      <c r="K41" s="255"/>
      <c r="L41" s="255"/>
      <c r="M41" s="258"/>
      <c r="N41" s="147"/>
      <c r="O41" s="255"/>
      <c r="P41" s="255"/>
      <c r="Q41" s="250"/>
      <c r="R41" s="250"/>
    </row>
    <row r="42" spans="1:18" ht="18.75" customHeight="1">
      <c r="A42" s="10" t="s">
        <v>39</v>
      </c>
      <c r="B42" s="252">
        <f>'[4]Полное финобеспечение'!$C42</f>
        <v>1391.8</v>
      </c>
      <c r="C42" s="253">
        <f>Корректировка!G42</f>
        <v>4251.8</v>
      </c>
      <c r="D42" s="252">
        <f t="shared" si="0"/>
        <v>55</v>
      </c>
      <c r="E42" s="252">
        <f t="shared" si="1"/>
        <v>5698.6</v>
      </c>
      <c r="F42" s="280">
        <v>52.7</v>
      </c>
      <c r="G42" s="281">
        <v>2.3</v>
      </c>
      <c r="H42" s="252"/>
      <c r="I42" s="254"/>
      <c r="J42" s="255"/>
      <c r="K42" s="255"/>
      <c r="L42" s="255"/>
      <c r="M42" s="255"/>
      <c r="N42" s="256"/>
      <c r="O42" s="255"/>
      <c r="P42" s="255"/>
      <c r="Q42" s="249"/>
      <c r="R42" s="249"/>
    </row>
    <row r="43" spans="1:18" ht="15.75">
      <c r="A43" s="10" t="s">
        <v>40</v>
      </c>
      <c r="B43" s="252">
        <f>'[4]Полное финобеспечение'!$C43</f>
        <v>774.3</v>
      </c>
      <c r="C43" s="253">
        <f>Корректировка!G43</f>
        <v>1834.3000000000002</v>
      </c>
      <c r="D43" s="252">
        <f t="shared" si="0"/>
        <v>3</v>
      </c>
      <c r="E43" s="252">
        <f t="shared" si="1"/>
        <v>2611.6000000000004</v>
      </c>
      <c r="F43" s="280">
        <v>2.1</v>
      </c>
      <c r="G43" s="281">
        <v>0.9</v>
      </c>
      <c r="H43" s="252"/>
      <c r="I43" s="254"/>
      <c r="J43" s="255"/>
      <c r="K43" s="255"/>
      <c r="L43" s="255"/>
      <c r="M43" s="255"/>
      <c r="N43" s="256"/>
      <c r="O43" s="255"/>
      <c r="P43" s="255"/>
      <c r="Q43" s="249"/>
      <c r="R43" s="249"/>
    </row>
    <row r="44" spans="1:18" ht="14.25" customHeight="1">
      <c r="A44" s="10" t="s">
        <v>23</v>
      </c>
      <c r="B44" s="252">
        <f>'[4]Полное финобеспечение'!$C44</f>
        <v>992.5</v>
      </c>
      <c r="C44" s="253">
        <f>Корректировка!G44</f>
        <v>2815.1</v>
      </c>
      <c r="D44" s="252">
        <f t="shared" si="0"/>
        <v>6.3</v>
      </c>
      <c r="E44" s="252">
        <f t="shared" si="1"/>
        <v>3813.9</v>
      </c>
      <c r="F44" s="280">
        <v>0.5</v>
      </c>
      <c r="G44" s="281">
        <v>5.8</v>
      </c>
      <c r="H44" s="252"/>
      <c r="I44" s="254"/>
      <c r="J44" s="255"/>
      <c r="K44" s="255"/>
      <c r="L44" s="255"/>
      <c r="M44" s="255"/>
      <c r="N44" s="256"/>
      <c r="O44" s="255"/>
      <c r="P44" s="255"/>
      <c r="Q44" s="249"/>
      <c r="R44" s="249"/>
    </row>
    <row r="45" spans="1:18" ht="15.75">
      <c r="A45" s="10" t="s">
        <v>41</v>
      </c>
      <c r="B45" s="252">
        <f>'[4]Полное финобеспечение'!$C45</f>
        <v>904.6999999999999</v>
      </c>
      <c r="C45" s="253">
        <f>Корректировка!G45</f>
        <v>2094.7</v>
      </c>
      <c r="D45" s="252">
        <f t="shared" si="0"/>
        <v>1.5</v>
      </c>
      <c r="E45" s="252">
        <f t="shared" si="1"/>
        <v>3000.8999999999996</v>
      </c>
      <c r="F45" s="280">
        <v>0</v>
      </c>
      <c r="G45" s="281">
        <v>1.5</v>
      </c>
      <c r="H45" s="252"/>
      <c r="I45" s="254"/>
      <c r="J45" s="255"/>
      <c r="K45" s="255"/>
      <c r="L45" s="255"/>
      <c r="M45" s="255"/>
      <c r="N45" s="256"/>
      <c r="O45" s="255"/>
      <c r="P45" s="255"/>
      <c r="Q45" s="249"/>
      <c r="R45" s="249"/>
    </row>
    <row r="46" spans="1:18" ht="15.75">
      <c r="A46" s="10" t="s">
        <v>42</v>
      </c>
      <c r="B46" s="252">
        <f>'[4]Полное финобеспечение'!$C46</f>
        <v>732</v>
      </c>
      <c r="C46" s="253">
        <f>Корректировка!G46</f>
        <v>1747.9</v>
      </c>
      <c r="D46" s="252">
        <f t="shared" si="0"/>
        <v>0.4</v>
      </c>
      <c r="E46" s="252">
        <f t="shared" si="1"/>
        <v>2480.3</v>
      </c>
      <c r="F46" s="280">
        <v>0</v>
      </c>
      <c r="G46" s="282">
        <v>0.4</v>
      </c>
      <c r="H46" s="252"/>
      <c r="I46" s="254"/>
      <c r="J46" s="255"/>
      <c r="K46" s="255"/>
      <c r="L46" s="255"/>
      <c r="M46" s="255"/>
      <c r="N46" s="256"/>
      <c r="O46" s="255"/>
      <c r="P46" s="255"/>
      <c r="Q46" s="249"/>
      <c r="R46" s="249"/>
    </row>
    <row r="47" spans="1:18" ht="22.5" customHeight="1">
      <c r="A47" s="10" t="s">
        <v>43</v>
      </c>
      <c r="B47" s="252">
        <f>'[4]Полное финобеспечение'!$C47</f>
        <v>731.8000000000001</v>
      </c>
      <c r="C47" s="253">
        <f>Корректировка!G47</f>
        <v>1929.2999999999997</v>
      </c>
      <c r="D47" s="252">
        <f t="shared" si="0"/>
        <v>18.2</v>
      </c>
      <c r="E47" s="252">
        <f t="shared" si="1"/>
        <v>2679.2999999999997</v>
      </c>
      <c r="F47" s="280">
        <v>16.3</v>
      </c>
      <c r="G47" s="282">
        <v>1.9</v>
      </c>
      <c r="H47" s="252"/>
      <c r="I47" s="254"/>
      <c r="J47" s="255"/>
      <c r="K47" s="255"/>
      <c r="L47" s="255"/>
      <c r="M47" s="255"/>
      <c r="N47" s="256"/>
      <c r="O47" s="255"/>
      <c r="P47" s="255"/>
      <c r="Q47" s="257"/>
      <c r="R47" s="249"/>
    </row>
    <row r="48" spans="1:18" ht="15.75">
      <c r="A48" s="10" t="s">
        <v>24</v>
      </c>
      <c r="B48" s="252">
        <f>'[4]Полное финобеспечение'!$C48</f>
        <v>22.8</v>
      </c>
      <c r="C48" s="253">
        <f>Корректировка!G48</f>
        <v>612.6</v>
      </c>
      <c r="D48" s="252">
        <f t="shared" si="0"/>
        <v>0</v>
      </c>
      <c r="E48" s="252">
        <f t="shared" si="1"/>
        <v>635.4</v>
      </c>
      <c r="F48" s="280">
        <v>0</v>
      </c>
      <c r="G48" s="281">
        <v>0</v>
      </c>
      <c r="H48" s="252"/>
      <c r="I48" s="254"/>
      <c r="J48" s="255"/>
      <c r="K48" s="255"/>
      <c r="L48" s="255"/>
      <c r="M48" s="255"/>
      <c r="N48" s="256"/>
      <c r="O48" s="255"/>
      <c r="P48" s="255"/>
      <c r="Q48" s="249"/>
      <c r="R48" s="249"/>
    </row>
    <row r="49" spans="1:18" ht="18" customHeight="1">
      <c r="A49" s="10" t="s">
        <v>44</v>
      </c>
      <c r="B49" s="252">
        <f>'[4]Полное финобеспечение'!$C49</f>
        <v>614.1999999999999</v>
      </c>
      <c r="C49" s="253">
        <f>Корректировка!G49</f>
        <v>1823.6999999999998</v>
      </c>
      <c r="D49" s="252">
        <f t="shared" si="0"/>
        <v>1.5</v>
      </c>
      <c r="E49" s="252">
        <f t="shared" si="1"/>
        <v>2439.3999999999996</v>
      </c>
      <c r="F49" s="252">
        <v>0</v>
      </c>
      <c r="G49" s="252">
        <v>1.5</v>
      </c>
      <c r="H49" s="252"/>
      <c r="I49" s="254"/>
      <c r="J49" s="255"/>
      <c r="K49" s="255"/>
      <c r="L49" s="255"/>
      <c r="M49" s="255"/>
      <c r="N49" s="256"/>
      <c r="O49" s="255"/>
      <c r="P49" s="255"/>
      <c r="Q49" s="249"/>
      <c r="R49" s="249"/>
    </row>
    <row r="50" spans="1:18" ht="34.5" customHeight="1">
      <c r="A50" s="11" t="s">
        <v>45</v>
      </c>
      <c r="B50" s="252">
        <f>'[4]Полное финобеспечение'!$C50</f>
        <v>387.59999999999997</v>
      </c>
      <c r="C50" s="253">
        <f>Корректировка!G50</f>
        <v>1371.6999999999998</v>
      </c>
      <c r="D50" s="252">
        <f t="shared" si="0"/>
        <v>0</v>
      </c>
      <c r="E50" s="252">
        <f t="shared" si="1"/>
        <v>1759.2999999999997</v>
      </c>
      <c r="F50" s="252">
        <v>0</v>
      </c>
      <c r="G50" s="252">
        <v>0</v>
      </c>
      <c r="H50" s="252"/>
      <c r="I50" s="254"/>
      <c r="J50" s="255"/>
      <c r="K50" s="255"/>
      <c r="L50" s="255"/>
      <c r="M50" s="255"/>
      <c r="N50" s="249"/>
      <c r="O50" s="255"/>
      <c r="P50" s="255"/>
      <c r="Q50" s="249"/>
      <c r="R50" s="249"/>
    </row>
    <row r="51" spans="1:18" s="259" customFormat="1" ht="31.5">
      <c r="A51" s="11" t="s">
        <v>46</v>
      </c>
      <c r="B51" s="252">
        <f>'[4]Полное финобеспечение'!$C51</f>
        <v>543</v>
      </c>
      <c r="C51" s="253">
        <f>Корректировка!G51</f>
        <v>1657.4</v>
      </c>
      <c r="D51" s="252">
        <f t="shared" si="0"/>
        <v>10.3</v>
      </c>
      <c r="E51" s="252">
        <f t="shared" si="1"/>
        <v>2210.7000000000003</v>
      </c>
      <c r="F51" s="252">
        <v>10.3</v>
      </c>
      <c r="G51" s="252">
        <v>0</v>
      </c>
      <c r="H51" s="252"/>
      <c r="I51" s="254"/>
      <c r="J51" s="255"/>
      <c r="K51" s="255"/>
      <c r="L51" s="255"/>
      <c r="M51" s="258"/>
      <c r="N51" s="250"/>
      <c r="O51" s="255"/>
      <c r="P51" s="255"/>
      <c r="Q51" s="250"/>
      <c r="R51" s="250"/>
    </row>
    <row r="52" spans="1:18" ht="48" thickBot="1">
      <c r="A52" s="177" t="s">
        <v>55</v>
      </c>
      <c r="B52" s="283">
        <f aca="true" t="shared" si="2" ref="B52:G52">SUM(B7:B51)</f>
        <v>68403.60000000002</v>
      </c>
      <c r="C52" s="283">
        <f t="shared" si="2"/>
        <v>236533.99999999994</v>
      </c>
      <c r="D52" s="283">
        <f t="shared" si="2"/>
        <v>4388.4</v>
      </c>
      <c r="E52" s="283">
        <f t="shared" si="2"/>
        <v>309325.99999999994</v>
      </c>
      <c r="F52" s="252">
        <f t="shared" si="2"/>
        <v>3085.7999999999997</v>
      </c>
      <c r="G52" s="252">
        <f t="shared" si="2"/>
        <v>1302.6</v>
      </c>
      <c r="H52" s="252"/>
      <c r="I52" s="254"/>
      <c r="J52" s="254"/>
      <c r="K52" s="254"/>
      <c r="L52" s="254"/>
      <c r="M52" s="255"/>
      <c r="N52" s="255"/>
      <c r="O52" s="255"/>
      <c r="P52" s="255"/>
      <c r="Q52" s="249"/>
      <c r="R52" s="249"/>
    </row>
    <row r="53" spans="1:18" ht="18" customHeight="1">
      <c r="A53" s="260"/>
      <c r="K53" s="249"/>
      <c r="L53" s="249"/>
      <c r="M53" s="249"/>
      <c r="N53" s="249"/>
      <c r="O53" s="249"/>
      <c r="P53" s="249"/>
      <c r="Q53" s="249"/>
      <c r="R53" s="249"/>
    </row>
    <row r="54" spans="1:18" ht="15.75">
      <c r="A54" s="250"/>
      <c r="H54" s="255"/>
      <c r="K54" s="249"/>
      <c r="L54" s="249"/>
      <c r="M54" s="249"/>
      <c r="N54" s="249"/>
      <c r="O54" s="249"/>
      <c r="P54" s="249"/>
      <c r="Q54" s="249"/>
      <c r="R54" s="249"/>
    </row>
    <row r="55" spans="1:18" ht="15.75">
      <c r="A55" s="250"/>
      <c r="D55" s="261"/>
      <c r="E55" s="261"/>
      <c r="F55" s="261"/>
      <c r="G55" s="255"/>
      <c r="K55" s="249"/>
      <c r="L55" s="249"/>
      <c r="M55" s="249"/>
      <c r="N55" s="249"/>
      <c r="O55" s="249"/>
      <c r="P55" s="249"/>
      <c r="Q55" s="249"/>
      <c r="R55" s="249"/>
    </row>
    <row r="56" spans="1:18" ht="15.75">
      <c r="A56" s="250"/>
      <c r="D56" s="261"/>
      <c r="E56" s="261"/>
      <c r="K56" s="249"/>
      <c r="L56" s="249"/>
      <c r="M56" s="249"/>
      <c r="N56" s="249"/>
      <c r="O56" s="249"/>
      <c r="P56" s="249"/>
      <c r="Q56" s="249"/>
      <c r="R56" s="249"/>
    </row>
    <row r="57" spans="1:18" ht="15.75">
      <c r="A57" s="250"/>
      <c r="K57" s="249"/>
      <c r="L57" s="249"/>
      <c r="M57" s="249"/>
      <c r="N57" s="249"/>
      <c r="O57" s="249"/>
      <c r="P57" s="249"/>
      <c r="Q57" s="249"/>
      <c r="R57" s="249"/>
    </row>
    <row r="58" spans="1:18" ht="15.75">
      <c r="A58" s="262"/>
      <c r="K58" s="249"/>
      <c r="L58" s="249"/>
      <c r="M58" s="249"/>
      <c r="N58" s="249"/>
      <c r="O58" s="249"/>
      <c r="P58" s="249"/>
      <c r="Q58" s="249"/>
      <c r="R58" s="249"/>
    </row>
    <row r="59" spans="1:18" ht="15.75">
      <c r="A59" s="262"/>
      <c r="K59" s="249"/>
      <c r="L59" s="249"/>
      <c r="M59" s="249"/>
      <c r="N59" s="249"/>
      <c r="O59" s="249"/>
      <c r="P59" s="249"/>
      <c r="Q59" s="249"/>
      <c r="R59" s="249"/>
    </row>
    <row r="60" spans="1:18" ht="16.5" customHeight="1">
      <c r="A60" s="250"/>
      <c r="K60" s="249"/>
      <c r="L60" s="249"/>
      <c r="M60" s="249"/>
      <c r="N60" s="249"/>
      <c r="O60" s="249"/>
      <c r="P60" s="249"/>
      <c r="Q60" s="249"/>
      <c r="R60" s="249"/>
    </row>
    <row r="61" spans="1:18" ht="15.75">
      <c r="A61" s="250"/>
      <c r="K61" s="249"/>
      <c r="L61" s="249"/>
      <c r="M61" s="249"/>
      <c r="N61" s="249"/>
      <c r="O61" s="249"/>
      <c r="P61" s="249"/>
      <c r="Q61" s="249"/>
      <c r="R61" s="249"/>
    </row>
    <row r="62" spans="1:18" ht="15.75">
      <c r="A62" s="250"/>
      <c r="K62" s="249"/>
      <c r="L62" s="249"/>
      <c r="M62" s="249"/>
      <c r="N62" s="249"/>
      <c r="O62" s="249"/>
      <c r="P62" s="249"/>
      <c r="Q62" s="249"/>
      <c r="R62" s="249"/>
    </row>
    <row r="63" spans="1:18" ht="15.75">
      <c r="A63" s="250"/>
      <c r="K63" s="249"/>
      <c r="L63" s="249"/>
      <c r="M63" s="249"/>
      <c r="N63" s="249"/>
      <c r="O63" s="249"/>
      <c r="P63" s="249"/>
      <c r="Q63" s="249"/>
      <c r="R63" s="249"/>
    </row>
    <row r="64" spans="1:18" ht="15.75">
      <c r="A64" s="250"/>
      <c r="K64" s="249"/>
      <c r="L64" s="249"/>
      <c r="M64" s="249"/>
      <c r="N64" s="249"/>
      <c r="O64" s="249"/>
      <c r="P64" s="249"/>
      <c r="Q64" s="249"/>
      <c r="R64" s="249"/>
    </row>
    <row r="65" spans="1:18" ht="15.75">
      <c r="A65" s="250"/>
      <c r="K65" s="249"/>
      <c r="L65" s="249"/>
      <c r="M65" s="249"/>
      <c r="N65" s="249"/>
      <c r="O65" s="249"/>
      <c r="P65" s="249"/>
      <c r="Q65" s="249"/>
      <c r="R65" s="249"/>
    </row>
    <row r="66" spans="1:18" ht="15.75">
      <c r="A66" s="263"/>
      <c r="K66" s="249"/>
      <c r="L66" s="249"/>
      <c r="M66" s="249"/>
      <c r="N66" s="249"/>
      <c r="O66" s="249"/>
      <c r="P66" s="249"/>
      <c r="Q66" s="249"/>
      <c r="R66" s="249"/>
    </row>
    <row r="67" spans="1:18" s="265" customFormat="1" ht="16.5" customHeight="1">
      <c r="A67" s="264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</row>
    <row r="68" spans="1:18" ht="15.75">
      <c r="A68" s="262"/>
      <c r="K68" s="249"/>
      <c r="L68" s="249"/>
      <c r="M68" s="249"/>
      <c r="N68" s="249"/>
      <c r="O68" s="249"/>
      <c r="P68" s="249"/>
      <c r="Q68" s="249"/>
      <c r="R68" s="249"/>
    </row>
    <row r="69" spans="1:18" ht="15.75">
      <c r="A69" s="262"/>
      <c r="K69" s="249"/>
      <c r="L69" s="249"/>
      <c r="M69" s="249"/>
      <c r="N69" s="249"/>
      <c r="O69" s="249"/>
      <c r="P69" s="249"/>
      <c r="Q69" s="249"/>
      <c r="R69" s="249"/>
    </row>
    <row r="70" spans="1:18" ht="15.75">
      <c r="A70" s="262"/>
      <c r="K70" s="249"/>
      <c r="L70" s="249"/>
      <c r="M70" s="249"/>
      <c r="N70" s="249"/>
      <c r="O70" s="249"/>
      <c r="P70" s="249"/>
      <c r="Q70" s="249"/>
      <c r="R70" s="249"/>
    </row>
    <row r="71" spans="1:18" ht="15.75">
      <c r="A71" s="262"/>
      <c r="K71" s="249"/>
      <c r="L71" s="249"/>
      <c r="M71" s="249"/>
      <c r="N71" s="249"/>
      <c r="O71" s="249"/>
      <c r="P71" s="249"/>
      <c r="Q71" s="249"/>
      <c r="R71" s="249"/>
    </row>
    <row r="72" spans="1:18" ht="18" customHeight="1">
      <c r="A72" s="262"/>
      <c r="K72" s="249"/>
      <c r="L72" s="249"/>
      <c r="M72" s="249"/>
      <c r="N72" s="249"/>
      <c r="O72" s="249"/>
      <c r="P72" s="249"/>
      <c r="Q72" s="249"/>
      <c r="R72" s="249"/>
    </row>
    <row r="73" ht="15.75">
      <c r="A73" s="262"/>
    </row>
    <row r="74" ht="15.75">
      <c r="A74" s="262"/>
    </row>
    <row r="75" ht="15.75">
      <c r="A75" s="262"/>
    </row>
    <row r="76" ht="15.75">
      <c r="A76" s="262"/>
    </row>
    <row r="77" ht="15.75">
      <c r="A77" s="262"/>
    </row>
    <row r="78" ht="15.75">
      <c r="A78" s="250"/>
    </row>
    <row r="79" ht="15.75">
      <c r="A79" s="250"/>
    </row>
    <row r="80" ht="15.75">
      <c r="A80" s="250"/>
    </row>
    <row r="81" ht="15.75">
      <c r="A81" s="250"/>
    </row>
    <row r="82" ht="15.75">
      <c r="A82" s="250"/>
    </row>
    <row r="83" ht="15.75">
      <c r="A83" s="250"/>
    </row>
    <row r="84" ht="15.75">
      <c r="A84" s="250"/>
    </row>
    <row r="85" ht="15.75">
      <c r="A85" s="250"/>
    </row>
    <row r="86" ht="15.75">
      <c r="A86" s="250"/>
    </row>
    <row r="87" ht="15.75">
      <c r="A87" s="250"/>
    </row>
    <row r="88" ht="15.75">
      <c r="A88" s="250"/>
    </row>
    <row r="89" ht="15.75">
      <c r="A89" s="250"/>
    </row>
    <row r="90" ht="15.75">
      <c r="A90" s="250"/>
    </row>
    <row r="91" ht="15.75">
      <c r="A91" s="250"/>
    </row>
    <row r="92" ht="15.75">
      <c r="A92" s="250"/>
    </row>
    <row r="93" ht="15.75">
      <c r="A93" s="250"/>
    </row>
    <row r="94" ht="15.75">
      <c r="A94" s="250"/>
    </row>
    <row r="95" ht="15.75">
      <c r="A95" s="250"/>
    </row>
    <row r="96" ht="15.75">
      <c r="A96" s="250"/>
    </row>
    <row r="97" ht="15.75">
      <c r="A97" s="250"/>
    </row>
    <row r="98" ht="15.75">
      <c r="A98" s="250"/>
    </row>
    <row r="99" ht="15.75">
      <c r="A99" s="250"/>
    </row>
    <row r="100" ht="15.75">
      <c r="A100" s="250"/>
    </row>
    <row r="101" ht="15.75">
      <c r="A101" s="250"/>
    </row>
    <row r="102" ht="15.75">
      <c r="A102" s="250"/>
    </row>
    <row r="103" ht="15.75">
      <c r="A103" s="250"/>
    </row>
    <row r="104" ht="15.75">
      <c r="A104" s="250"/>
    </row>
    <row r="105" ht="15.75">
      <c r="A105" s="250"/>
    </row>
    <row r="106" ht="15.75">
      <c r="A106" s="250"/>
    </row>
    <row r="107" ht="15.75">
      <c r="A107" s="250"/>
    </row>
    <row r="108" ht="15.75">
      <c r="A108" s="250"/>
    </row>
    <row r="109" ht="15.75">
      <c r="A109" s="250"/>
    </row>
    <row r="110" ht="15.75">
      <c r="A110" s="250"/>
    </row>
    <row r="111" ht="15.75">
      <c r="A111" s="250"/>
    </row>
    <row r="112" ht="15.75">
      <c r="A112" s="267"/>
    </row>
    <row r="113" ht="15.75">
      <c r="A113" s="267"/>
    </row>
    <row r="114" ht="15.75">
      <c r="A114" s="249"/>
    </row>
  </sheetData>
  <sheetProtection/>
  <mergeCells count="15">
    <mergeCell ref="A2:E2"/>
    <mergeCell ref="A4:A6"/>
    <mergeCell ref="B4:B6"/>
    <mergeCell ref="C4:C6"/>
    <mergeCell ref="D4:D6"/>
    <mergeCell ref="E4:E6"/>
    <mergeCell ref="N4:N6"/>
    <mergeCell ref="O4:O6"/>
    <mergeCell ref="P4:P6"/>
    <mergeCell ref="Q4:Q6"/>
    <mergeCell ref="F6:G6"/>
    <mergeCell ref="J4:J6"/>
    <mergeCell ref="K4:K6"/>
    <mergeCell ref="L4:L6"/>
    <mergeCell ref="M4:M6"/>
  </mergeCells>
  <printOptions horizontalCentered="1"/>
  <pageMargins left="0.1968503937007874" right="0" top="0.5905511811023623" bottom="0" header="0" footer="0"/>
  <pageSetup horizontalDpi="600" verticalDpi="600" orientation="portrait" paperSize="9" scale="5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2018-05-15T08:21:30Z</cp:lastPrinted>
  <dcterms:created xsi:type="dcterms:W3CDTF">2005-01-25T12:19:56Z</dcterms:created>
  <dcterms:modified xsi:type="dcterms:W3CDTF">2018-05-15T13:30:15Z</dcterms:modified>
  <cp:category/>
  <cp:version/>
  <cp:contentType/>
  <cp:contentStatus/>
</cp:coreProperties>
</file>