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2120" windowHeight="7575" activeTab="3"/>
  </bookViews>
  <sheets>
    <sheet name="МЗ-корректировка" sheetId="1" r:id="rId1"/>
    <sheet name="Для корректировки" sheetId="2" r:id="rId2"/>
    <sheet name="Свод" sheetId="3" r:id="rId3"/>
    <sheet name="Общехоз." sheetId="4" r:id="rId4"/>
  </sheets>
  <externalReferences>
    <externalReference r:id="rId7"/>
  </externalReferences>
  <definedNames>
    <definedName name="_xlnm.Print_Titles" localSheetId="1">'Для корректировки'!$A:$A,'Для корректировки'!$3:$5</definedName>
    <definedName name="_xlnm.Print_Titles" localSheetId="0">'МЗ-корректировка'!$A:$A,'МЗ-корректировка'!$3:$5</definedName>
    <definedName name="_xlnm.Print_Titles" localSheetId="3">'Общехоз.'!$A:$B,'Общехоз.'!$3:$7</definedName>
    <definedName name="_xlnm.Print_Titles" localSheetId="2">'Свод'!$A:$A,'Свод'!$4:$5</definedName>
    <definedName name="_xlnm.Print_Area" localSheetId="1">'Для корректировки'!$A$1:$P$54</definedName>
    <definedName name="_xlnm.Print_Area" localSheetId="0">'МЗ-корректировка'!$A$1:$P$54</definedName>
    <definedName name="_xlnm.Print_Area" localSheetId="3">'Общехоз.'!$A$1:$N$56</definedName>
    <definedName name="_xlnm.Print_Area" localSheetId="2">'Свод'!$A$1:$G$54</definedName>
  </definedNames>
  <calcPr fullCalcOnLoad="1"/>
</workbook>
</file>

<file path=xl/sharedStrings.xml><?xml version="1.0" encoding="utf-8"?>
<sst xmlns="http://schemas.openxmlformats.org/spreadsheetml/2006/main" count="301" uniqueCount="98">
  <si>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</si>
  <si>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</si>
  <si>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</si>
  <si>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</si>
  <si>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</si>
  <si>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</si>
  <si>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</si>
  <si>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</si>
  <si>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</si>
  <si>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</si>
  <si>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</si>
  <si>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</si>
  <si>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</si>
  <si>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</si>
  <si>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</si>
  <si>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</si>
  <si>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</si>
  <si>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</si>
  <si>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</si>
  <si>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</si>
  <si>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</si>
  <si>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</si>
  <si>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</si>
  <si>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</si>
  <si>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</si>
  <si>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</si>
  <si>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</si>
  <si>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</si>
  <si>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</si>
  <si>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</si>
  <si>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</si>
  <si>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</si>
  <si>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</si>
  <si>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</si>
  <si>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</si>
  <si>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</si>
  <si>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</si>
  <si>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</si>
  <si>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</si>
  <si>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</si>
  <si>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</si>
  <si>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</si>
  <si>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</si>
  <si>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</si>
  <si>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</si>
  <si>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</si>
  <si>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</si>
  <si>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</si>
  <si>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</si>
  <si>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Режим работы, час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</si>
  <si>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</si>
  <si>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</si>
  <si>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</si>
  <si>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</si>
  <si>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</si>
  <si>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</si>
  <si>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</si>
  <si>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</si>
  <si>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Всего в расчете на год, тыс. руб.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</si>
  <si>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</si>
  <si>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к ФОТ</t>
  </si>
  <si>
    <t>ФОТ по расчету, тыс. руб.</t>
  </si>
  <si>
    <t>Дефицит (-), излишек (+) к расчету, тыс. руб.</t>
  </si>
  <si>
    <t>В бюджет</t>
  </si>
  <si>
    <t>ст.211</t>
  </si>
  <si>
    <t>ст.213</t>
  </si>
  <si>
    <t>Финансовое обеспечение  муниципальных услуг  в части затрат на оплату труда,    тыс. руб.</t>
  </si>
  <si>
    <t>№п/п</t>
  </si>
  <si>
    <t>Наименование и объём  услуги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</si>
  <si>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</si>
  <si>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</si>
  <si>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</si>
  <si>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</si>
  <si>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полное финансовое обеспечение за счет затрат на общехозяйственные нужды-бюджет, тыс. руб.</t>
  </si>
  <si>
    <t>Наименование и объем муниципальной услуги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</si>
  <si>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пределах бюджетных ассигнованиий, предусмотренных Отделу образования</t>
  </si>
  <si>
    <t>Приложение №14</t>
  </si>
  <si>
    <t>Всего  в расчете на год, тыс. руб.</t>
  </si>
  <si>
    <t>Приложение №15</t>
  </si>
  <si>
    <t>Нормативы затрат на оказание муниципальных услуг  в части затрат на материальные и иные  затраты,    руб.</t>
  </si>
  <si>
    <t>Финансовое обеспечение  муниципальных услуг  в части затрат на материальные и иные затраты,    тыс. руб.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</si>
  <si>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</si>
  <si>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</si>
  <si>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</si>
  <si>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№16</t>
  </si>
  <si>
    <t>Финансовое обеспечение, тыс. руб.</t>
  </si>
  <si>
    <t>Приложение №17</t>
  </si>
  <si>
    <t>Финансовое обеспечение  муниципальных услуг  в части  общехозяйственных  затрат,    тыс. руб.</t>
  </si>
  <si>
    <t>Налоги, тыс. руб.</t>
  </si>
  <si>
    <t>МБДОУ ДС №2</t>
  </si>
  <si>
    <t>МБДОУ ДС №4</t>
  </si>
  <si>
    <t>МБДОУ ДС №5</t>
  </si>
  <si>
    <t>Контроль-включено в бюджет на 01.01.2019, года, тыс. руб.</t>
  </si>
  <si>
    <t>Контроль-разница на 01.01.2019, года, тыс. руб.</t>
  </si>
  <si>
    <t>Взяла нормативы МОРО</t>
  </si>
  <si>
    <t>к приказу Отдела образования от 29.12.2018 №932</t>
  </si>
  <si>
    <t>реализация адаптированных основных общеобразовательных программ дошкольного образования</t>
  </si>
  <si>
    <t>Наименование дошкольной образовательной организации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</si>
</sst>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2" fontId="4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2" fontId="5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4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2" fontId="5" fillId="33" borderId="13" xfId="54" applyNumberFormat="1" applyFont="1" applyFill="1" applyBorder="1" applyAlignment="1">
      <alignment wrapText="1"/>
      <protection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0" xfId="54" applyNumberFormat="1" applyFont="1" applyFill="1" applyBorder="1" applyAlignment="1">
      <alignment horizontal="center" wrapText="1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0" fontId="9" fillId="33" borderId="13" xfId="0" applyFont="1" applyFill="1" applyBorder="1" applyAlignment="1">
      <alignment horizontal="center" wrapText="1"/>
    </xf>
    <xf numFmtId="3" fontId="8" fillId="33" borderId="10" xfId="54" applyNumberFormat="1" applyFont="1" applyFill="1" applyBorder="1" applyAlignment="1">
      <alignment horizontal="center" wrapText="1"/>
      <protection/>
    </xf>
    <xf numFmtId="177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180" fontId="6" fillId="33" borderId="14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3" xfId="54" applyFont="1" applyFill="1" applyBorder="1" applyAlignment="1">
      <alignment vertical="center" wrapText="1"/>
      <protection/>
    </xf>
    <xf numFmtId="0" fontId="6" fillId="33" borderId="15" xfId="54" applyFont="1" applyFill="1" applyBorder="1" applyAlignment="1">
      <alignment vertical="center" wrapText="1"/>
      <protection/>
    </xf>
    <xf numFmtId="0" fontId="6" fillId="33" borderId="14" xfId="54" applyFont="1" applyFill="1" applyBorder="1" applyAlignment="1">
      <alignment vertical="center" wrapText="1"/>
      <protection/>
    </xf>
    <xf numFmtId="0" fontId="6" fillId="33" borderId="0" xfId="54" applyFont="1" applyFill="1">
      <alignment/>
      <protection/>
    </xf>
    <xf numFmtId="0" fontId="48" fillId="33" borderId="16" xfId="54" applyFont="1" applyFill="1" applyBorder="1" applyAlignment="1">
      <alignment horizontal="left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" fontId="4" fillId="33" borderId="12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2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/>
    </xf>
    <xf numFmtId="180" fontId="9" fillId="33" borderId="1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2" fontId="9" fillId="33" borderId="10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12" fillId="33" borderId="0" xfId="54" applyNumberFormat="1" applyFont="1" applyFill="1" applyAlignment="1">
      <alignment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2" xfId="54" applyNumberFormat="1" applyFont="1" applyFill="1" applyBorder="1" applyAlignment="1">
      <alignment horizontal="center" wrapText="1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177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/>
    </xf>
    <xf numFmtId="1" fontId="9" fillId="33" borderId="10" xfId="54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/>
      <protection/>
    </xf>
    <xf numFmtId="3" fontId="9" fillId="34" borderId="17" xfId="53" applyNumberFormat="1" applyFont="1" applyFill="1" applyBorder="1" applyAlignment="1">
      <alignment horizontal="center"/>
      <protection/>
    </xf>
    <xf numFmtId="1" fontId="9" fillId="34" borderId="17" xfId="55" applyNumberFormat="1" applyFont="1" applyFill="1" applyBorder="1" applyAlignment="1">
      <alignment horizontal="center" vertical="top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1" fontId="9" fillId="33" borderId="10" xfId="54" applyNumberFormat="1" applyFont="1" applyFill="1" applyBorder="1" applyAlignment="1">
      <alignment horizontal="center" vertical="top" wrapText="1"/>
      <protection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" fontId="9" fillId="33" borderId="12" xfId="54" applyNumberFormat="1" applyFont="1" applyFill="1" applyBorder="1" applyAlignment="1">
      <alignment horizontal="center" wrapText="1"/>
      <protection/>
    </xf>
    <xf numFmtId="0" fontId="6" fillId="33" borderId="14" xfId="54" applyFont="1" applyFill="1" applyBorder="1" applyAlignment="1">
      <alignment horizontal="center" wrapText="1"/>
      <protection/>
    </xf>
    <xf numFmtId="1" fontId="9" fillId="33" borderId="10" xfId="54" applyNumberFormat="1" applyFont="1" applyFill="1" applyBorder="1" applyAlignment="1">
      <alignment horizontal="center" wrapText="1"/>
      <protection/>
    </xf>
    <xf numFmtId="1" fontId="9" fillId="33" borderId="14" xfId="54" applyNumberFormat="1" applyFont="1" applyFill="1" applyBorder="1" applyAlignment="1">
      <alignment horizontal="center" wrapText="1"/>
      <protection/>
    </xf>
    <xf numFmtId="1" fontId="9" fillId="34" borderId="17" xfId="55" applyNumberFormat="1" applyFont="1" applyFill="1" applyBorder="1" applyAlignment="1">
      <alignment horizontal="center" wrapText="1"/>
      <protection/>
    </xf>
    <xf numFmtId="0" fontId="6" fillId="34" borderId="20" xfId="55" applyFont="1" applyFill="1" applyBorder="1" applyAlignment="1">
      <alignment horizontal="center" wrapText="1"/>
      <protection/>
    </xf>
    <xf numFmtId="1" fontId="6" fillId="33" borderId="14" xfId="54" applyNumberFormat="1" applyFont="1" applyFill="1" applyBorder="1" applyAlignment="1">
      <alignment horizontal="center" wrapText="1"/>
      <protection/>
    </xf>
    <xf numFmtId="0" fontId="9" fillId="33" borderId="14" xfId="54" applyFont="1" applyFill="1" applyBorder="1" applyAlignment="1">
      <alignment horizontal="center" wrapText="1"/>
      <protection/>
    </xf>
    <xf numFmtId="1" fontId="9" fillId="33" borderId="21" xfId="54" applyNumberFormat="1" applyFont="1" applyFill="1" applyBorder="1" applyAlignment="1">
      <alignment horizontal="center" wrapText="1"/>
      <protection/>
    </xf>
    <xf numFmtId="1" fontId="9" fillId="33" borderId="22" xfId="54" applyNumberFormat="1" applyFont="1" applyFill="1" applyBorder="1" applyAlignment="1">
      <alignment horizontal="center" wrapText="1"/>
      <protection/>
    </xf>
    <xf numFmtId="3" fontId="9" fillId="33" borderId="10" xfId="54" applyNumberFormat="1" applyFont="1" applyFill="1" applyBorder="1" applyAlignment="1">
      <alignment horizontal="center" wrapText="1"/>
      <protection/>
    </xf>
    <xf numFmtId="1" fontId="9" fillId="33" borderId="18" xfId="54" applyNumberFormat="1" applyFont="1" applyFill="1" applyBorder="1" applyAlignment="1">
      <alignment horizontal="center" wrapText="1"/>
      <protection/>
    </xf>
    <xf numFmtId="3" fontId="8" fillId="33" borderId="23" xfId="54" applyNumberFormat="1" applyFont="1" applyFill="1" applyBorder="1" applyAlignment="1">
      <alignment horizontal="center" wrapText="1"/>
      <protection/>
    </xf>
    <xf numFmtId="3" fontId="8" fillId="33" borderId="14" xfId="54" applyNumberFormat="1" applyFont="1" applyFill="1" applyBorder="1" applyAlignment="1">
      <alignment horizontal="center" wrapText="1"/>
      <protection/>
    </xf>
    <xf numFmtId="0" fontId="5" fillId="33" borderId="23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Alignment="1">
      <alignment/>
      <protection/>
    </xf>
    <xf numFmtId="0" fontId="9" fillId="34" borderId="17" xfId="55" applyFont="1" applyFill="1" applyBorder="1" applyAlignment="1">
      <alignment horizontal="center" vertical="top" wrapText="1"/>
      <protection/>
    </xf>
    <xf numFmtId="0" fontId="5" fillId="33" borderId="0" xfId="54" applyFont="1" applyFill="1" applyAlignment="1">
      <alignment/>
      <protection/>
    </xf>
    <xf numFmtId="180" fontId="10" fillId="33" borderId="10" xfId="0" applyNumberFormat="1" applyFont="1" applyFill="1" applyBorder="1" applyAlignment="1">
      <alignment horizontal="center" vertical="distributed"/>
    </xf>
    <xf numFmtId="2" fontId="6" fillId="33" borderId="0" xfId="54" applyNumberFormat="1" applyFont="1" applyFill="1" applyBorder="1" applyAlignment="1">
      <alignment/>
      <protection/>
    </xf>
    <xf numFmtId="2" fontId="12" fillId="33" borderId="0" xfId="54" applyNumberFormat="1" applyFont="1" applyFill="1" applyBorder="1" applyAlignment="1">
      <alignment wrapText="1"/>
      <protection/>
    </xf>
    <xf numFmtId="180" fontId="8" fillId="33" borderId="21" xfId="54" applyNumberFormat="1" applyFont="1" applyFill="1" applyBorder="1" applyAlignment="1">
      <alignment horizontal="center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vertical="center"/>
      <protection/>
    </xf>
    <xf numFmtId="180" fontId="6" fillId="33" borderId="10" xfId="54" applyNumberFormat="1" applyFont="1" applyFill="1" applyBorder="1" applyAlignment="1">
      <alignment wrapText="1"/>
      <protection/>
    </xf>
    <xf numFmtId="176" fontId="6" fillId="33" borderId="0" xfId="54" applyNumberFormat="1" applyFont="1" applyFill="1" applyAlignment="1">
      <alignment wrapText="1"/>
      <protection/>
    </xf>
    <xf numFmtId="176" fontId="6" fillId="33" borderId="10" xfId="54" applyNumberFormat="1" applyFont="1" applyFill="1" applyBorder="1" applyAlignment="1">
      <alignment horizontal="center" vertical="center"/>
      <protection/>
    </xf>
    <xf numFmtId="0" fontId="9" fillId="33" borderId="0" xfId="54" applyFont="1" applyFill="1" applyAlignment="1">
      <alignment vertical="center"/>
      <protection/>
    </xf>
    <xf numFmtId="177" fontId="9" fillId="33" borderId="19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vertical="center" wrapText="1"/>
      <protection/>
    </xf>
    <xf numFmtId="180" fontId="6" fillId="33" borderId="10" xfId="54" applyNumberFormat="1" applyFont="1" applyFill="1" applyBorder="1" applyAlignment="1">
      <alignment vertical="center" wrapText="1"/>
      <protection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0" xfId="53" applyNumberFormat="1" applyFont="1" applyFill="1" applyBorder="1" applyAlignment="1">
      <alignment horizontal="center" vertical="center"/>
      <protection/>
    </xf>
    <xf numFmtId="1" fontId="9" fillId="34" borderId="17" xfId="53" applyNumberFormat="1" applyFont="1" applyFill="1" applyBorder="1" applyAlignment="1">
      <alignment horizontal="center"/>
      <protection/>
    </xf>
    <xf numFmtId="1" fontId="9" fillId="33" borderId="10" xfId="53" applyNumberFormat="1" applyFont="1" applyFill="1" applyBorder="1" applyAlignment="1">
      <alignment horizontal="center"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3" fontId="4" fillId="33" borderId="0" xfId="54" applyNumberFormat="1" applyFont="1" applyFill="1" applyBorder="1" applyAlignment="1">
      <alignment wrapText="1"/>
      <protection/>
    </xf>
    <xf numFmtId="176" fontId="6" fillId="33" borderId="10" xfId="54" applyNumberFormat="1" applyFont="1" applyFill="1" applyBorder="1" applyAlignment="1">
      <alignment horizont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2" fontId="4" fillId="33" borderId="0" xfId="54" applyNumberFormat="1" applyFont="1" applyFill="1" applyBorder="1" applyAlignment="1">
      <alignment vertical="center" wrapText="1"/>
      <protection/>
    </xf>
    <xf numFmtId="2" fontId="5" fillId="33" borderId="10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wrapText="1"/>
      <protection/>
    </xf>
    <xf numFmtId="180" fontId="9" fillId="33" borderId="16" xfId="0" applyNumberFormat="1" applyFont="1" applyFill="1" applyBorder="1" applyAlignment="1">
      <alignment vertical="center" wrapText="1"/>
    </xf>
    <xf numFmtId="1" fontId="5" fillId="33" borderId="10" xfId="54" applyNumberFormat="1" applyFont="1" applyFill="1" applyBorder="1" applyAlignment="1">
      <alignment horizontal="center" wrapText="1"/>
      <protection/>
    </xf>
    <xf numFmtId="3" fontId="5" fillId="33" borderId="10" xfId="54" applyNumberFormat="1" applyFont="1" applyFill="1" applyBorder="1" applyAlignment="1">
      <alignment wrapText="1"/>
      <protection/>
    </xf>
    <xf numFmtId="4" fontId="8" fillId="33" borderId="10" xfId="54" applyNumberFormat="1" applyFont="1" applyFill="1" applyBorder="1" applyAlignment="1">
      <alignment horizontal="center" wrapText="1"/>
      <protection/>
    </xf>
    <xf numFmtId="177" fontId="8" fillId="33" borderId="10" xfId="0" applyNumberFormat="1" applyFont="1" applyFill="1" applyBorder="1" applyAlignment="1">
      <alignment horizontal="center" wrapText="1"/>
    </xf>
    <xf numFmtId="2" fontId="8" fillId="33" borderId="10" xfId="54" applyNumberFormat="1" applyFont="1" applyFill="1" applyBorder="1" applyAlignment="1">
      <alignment horizontal="center" wrapText="1"/>
      <protection/>
    </xf>
    <xf numFmtId="180" fontId="8" fillId="33" borderId="10" xfId="54" applyNumberFormat="1" applyFont="1" applyFill="1" applyBorder="1" applyAlignment="1">
      <alignment horizontal="center" wrapText="1"/>
      <protection/>
    </xf>
    <xf numFmtId="0" fontId="9" fillId="33" borderId="2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180" fontId="6" fillId="33" borderId="21" xfId="54" applyNumberFormat="1" applyFont="1" applyFill="1" applyBorder="1" applyAlignment="1">
      <alignment horizontal="center" vertical="center"/>
      <protection/>
    </xf>
    <xf numFmtId="177" fontId="6" fillId="33" borderId="21" xfId="54" applyNumberFormat="1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 wrapText="1"/>
      <protection/>
    </xf>
    <xf numFmtId="180" fontId="9" fillId="33" borderId="16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177" fontId="9" fillId="33" borderId="14" xfId="54" applyNumberFormat="1" applyFont="1" applyFill="1" applyBorder="1" applyAlignment="1">
      <alignment horizontal="center" vertical="center" wrapText="1"/>
      <protection/>
    </xf>
    <xf numFmtId="177" fontId="9" fillId="33" borderId="24" xfId="54" applyNumberFormat="1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2" fontId="9" fillId="33" borderId="21" xfId="54" applyNumberFormat="1" applyFont="1" applyFill="1" applyBorder="1" applyAlignment="1">
      <alignment horizontal="center" vertical="center" wrapText="1"/>
      <protection/>
    </xf>
    <xf numFmtId="2" fontId="9" fillId="33" borderId="13" xfId="54" applyNumberFormat="1" applyFont="1" applyFill="1" applyBorder="1" applyAlignment="1">
      <alignment horizontal="center" vertical="center" wrapText="1"/>
      <protection/>
    </xf>
    <xf numFmtId="2" fontId="9" fillId="33" borderId="12" xfId="54" applyNumberFormat="1" applyFont="1" applyFill="1" applyBorder="1" applyAlignment="1">
      <alignment horizontal="center" vertical="center" wrapText="1"/>
      <protection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25" xfId="0" applyNumberFormat="1" applyFont="1" applyFill="1" applyBorder="1" applyAlignment="1">
      <alignment horizontal="center" vertical="center" wrapText="1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right" vertical="center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2" fontId="4" fillId="33" borderId="21" xfId="54" applyNumberFormat="1" applyFont="1" applyFill="1" applyBorder="1" applyAlignment="1">
      <alignment horizontal="center" vertical="center" wrapText="1"/>
      <protection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2" fontId="4" fillId="33" borderId="12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25" xfId="54" applyFont="1" applyFill="1" applyBorder="1" applyAlignment="1">
      <alignment horizontal="center" vertical="center" wrapText="1"/>
      <protection/>
    </xf>
    <xf numFmtId="177" fontId="9" fillId="33" borderId="21" xfId="54" applyNumberFormat="1" applyFont="1" applyFill="1" applyBorder="1" applyAlignment="1">
      <alignment horizontal="center" vertical="center" wrapText="1"/>
      <protection/>
    </xf>
    <xf numFmtId="177" fontId="9" fillId="33" borderId="12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right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19\&#1052;&#1091;&#1085;&#1079;&#1072;&#1076;&#1072;&#1085;&#1080;&#1077;\&#1044;&#1086;&#1096;&#1082;&#1086;&#1083;&#1100;&#1085;&#1086;&#1077;%20&#1086;&#1073;&#1088;&#1072;&#1079;&#1086;&#1074;&#1072;&#1085;&#1080;&#1077;\&#1057;&#1074;&#1086;&#1076;%20&#1087;&#1086;%20&#1044;&#1044;&#1059;-611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4">
          <cell r="BC4">
            <v>1250.2</v>
          </cell>
        </row>
        <row r="5">
          <cell r="BC5">
            <v>3885.1</v>
          </cell>
        </row>
        <row r="6">
          <cell r="BC6">
            <v>1248.8</v>
          </cell>
        </row>
        <row r="7">
          <cell r="BC7">
            <v>3567.5</v>
          </cell>
        </row>
        <row r="8">
          <cell r="BC8">
            <v>2067.8</v>
          </cell>
        </row>
        <row r="9">
          <cell r="BC9">
            <v>1426.2</v>
          </cell>
        </row>
        <row r="10">
          <cell r="BC10">
            <v>2470.2</v>
          </cell>
        </row>
        <row r="11">
          <cell r="BC11">
            <v>2329.6</v>
          </cell>
        </row>
        <row r="12">
          <cell r="BC12">
            <v>1491.8</v>
          </cell>
        </row>
        <row r="13">
          <cell r="BC13">
            <v>2491.7</v>
          </cell>
        </row>
        <row r="14">
          <cell r="BC14">
            <v>2246.6</v>
          </cell>
        </row>
        <row r="15">
          <cell r="BC15">
            <v>2422</v>
          </cell>
        </row>
        <row r="16">
          <cell r="BC16">
            <v>2431.9</v>
          </cell>
        </row>
        <row r="17">
          <cell r="BC17">
            <v>1996.1</v>
          </cell>
        </row>
        <row r="18">
          <cell r="BC18">
            <v>870.6</v>
          </cell>
        </row>
        <row r="19">
          <cell r="BC19">
            <v>503.6</v>
          </cell>
        </row>
        <row r="20">
          <cell r="BC20">
            <v>1058.7</v>
          </cell>
        </row>
        <row r="21">
          <cell r="BC21">
            <v>934.9</v>
          </cell>
        </row>
        <row r="22">
          <cell r="BC22">
            <v>882.1</v>
          </cell>
        </row>
        <row r="23">
          <cell r="BC23">
            <v>789.2</v>
          </cell>
        </row>
        <row r="24">
          <cell r="BC24">
            <v>766.6</v>
          </cell>
        </row>
        <row r="25">
          <cell r="BC25">
            <v>834.8</v>
          </cell>
        </row>
        <row r="26">
          <cell r="BC26">
            <v>789.3</v>
          </cell>
        </row>
        <row r="27">
          <cell r="BC27">
            <v>797.1</v>
          </cell>
        </row>
        <row r="28">
          <cell r="BC28">
            <v>1243.7</v>
          </cell>
        </row>
        <row r="29">
          <cell r="BC29">
            <v>1164</v>
          </cell>
        </row>
        <row r="30">
          <cell r="BC30">
            <v>1311.5</v>
          </cell>
        </row>
        <row r="31">
          <cell r="BC31">
            <v>1186.5</v>
          </cell>
        </row>
        <row r="32">
          <cell r="BC32">
            <v>1539.8</v>
          </cell>
        </row>
        <row r="33">
          <cell r="BC33">
            <v>809.4</v>
          </cell>
        </row>
        <row r="34">
          <cell r="BC34">
            <v>595.3</v>
          </cell>
        </row>
        <row r="35">
          <cell r="BC35">
            <v>685.7</v>
          </cell>
        </row>
        <row r="36">
          <cell r="BC36">
            <v>869.3</v>
          </cell>
        </row>
        <row r="37">
          <cell r="BC37">
            <v>972.9</v>
          </cell>
        </row>
        <row r="38">
          <cell r="BC38">
            <v>177</v>
          </cell>
        </row>
        <row r="39">
          <cell r="BC39">
            <v>745</v>
          </cell>
        </row>
        <row r="40">
          <cell r="BC40">
            <v>495</v>
          </cell>
        </row>
        <row r="41">
          <cell r="BC41">
            <v>842.4</v>
          </cell>
        </row>
        <row r="42">
          <cell r="BC42">
            <v>1132.6</v>
          </cell>
        </row>
        <row r="43">
          <cell r="BC43">
            <v>781.2</v>
          </cell>
        </row>
        <row r="44">
          <cell r="BC44">
            <v>871.9</v>
          </cell>
        </row>
        <row r="45">
          <cell r="BC45">
            <v>855.6</v>
          </cell>
        </row>
        <row r="46">
          <cell r="BC46">
            <v>739.5</v>
          </cell>
        </row>
        <row r="47">
          <cell r="BC47">
            <v>720.4</v>
          </cell>
        </row>
        <row r="48">
          <cell r="BC48">
            <v>540.7</v>
          </cell>
        </row>
        <row r="49">
          <cell r="BC49">
            <v>578.7</v>
          </cell>
        </row>
        <row r="50">
          <cell r="BC50">
            <v>354.6</v>
          </cell>
        </row>
        <row r="51">
          <cell r="BC51">
            <v>502.6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="70" zoomScaleNormal="71" zoomScaleSheetLayoutView="7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" sqref="H10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6.710937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6.7109375" style="3" customWidth="1"/>
    <col min="17" max="17" width="15.421875" style="3" customWidth="1"/>
    <col min="18" max="18" width="16.8515625" style="3" customWidth="1"/>
    <col min="19" max="16384" width="9.140625" style="3" customWidth="1"/>
  </cols>
  <sheetData>
    <row r="1" spans="1:16" ht="15.75">
      <c r="A1" s="197"/>
      <c r="B1" s="197"/>
      <c r="C1" s="197"/>
      <c r="D1" s="197"/>
      <c r="F1" s="20"/>
      <c r="G1" s="20"/>
      <c r="H1" s="158" t="s">
        <v>78</v>
      </c>
      <c r="I1" s="20"/>
      <c r="J1" s="20"/>
      <c r="K1" s="20"/>
      <c r="L1" s="20"/>
      <c r="M1" s="20"/>
      <c r="N1" s="20"/>
      <c r="O1" s="20"/>
      <c r="P1" s="20"/>
    </row>
    <row r="2" spans="1:16" ht="15.75" customHeight="1">
      <c r="A2" s="146"/>
      <c r="B2" s="146"/>
      <c r="C2" s="1"/>
      <c r="D2" s="1"/>
      <c r="E2" s="187" t="s">
        <v>95</v>
      </c>
      <c r="F2" s="187"/>
      <c r="G2" s="187"/>
      <c r="H2" s="187"/>
      <c r="I2" s="147"/>
      <c r="J2" s="147"/>
      <c r="K2" s="147"/>
      <c r="L2" s="147"/>
      <c r="M2" s="198"/>
      <c r="N2" s="198"/>
      <c r="O2" s="198"/>
      <c r="P2" s="198"/>
    </row>
    <row r="3" spans="1:18" s="158" customFormat="1" ht="62.25" customHeight="1">
      <c r="A3" s="189" t="s">
        <v>97</v>
      </c>
      <c r="B3" s="199" t="s">
        <v>49</v>
      </c>
      <c r="C3" s="196" t="s">
        <v>51</v>
      </c>
      <c r="D3" s="196"/>
      <c r="E3" s="196"/>
      <c r="F3" s="202" t="s">
        <v>79</v>
      </c>
      <c r="G3" s="202"/>
      <c r="H3" s="202"/>
      <c r="I3" s="203" t="s">
        <v>57</v>
      </c>
      <c r="J3" s="204"/>
      <c r="K3" s="205"/>
      <c r="L3" s="206" t="s">
        <v>59</v>
      </c>
      <c r="M3" s="192" t="s">
        <v>80</v>
      </c>
      <c r="N3" s="192"/>
      <c r="O3" s="192"/>
      <c r="P3" s="193" t="s">
        <v>58</v>
      </c>
      <c r="Q3" s="193" t="s">
        <v>92</v>
      </c>
      <c r="R3" s="193" t="s">
        <v>93</v>
      </c>
    </row>
    <row r="4" spans="1:18" s="158" customFormat="1" ht="117.75" customHeight="1">
      <c r="A4" s="190"/>
      <c r="B4" s="200"/>
      <c r="C4" s="194" t="s">
        <v>0</v>
      </c>
      <c r="D4" s="195"/>
      <c r="E4" s="171" t="s">
        <v>96</v>
      </c>
      <c r="F4" s="196" t="s">
        <v>0</v>
      </c>
      <c r="G4" s="196"/>
      <c r="H4" s="171" t="s">
        <v>96</v>
      </c>
      <c r="I4" s="196" t="s">
        <v>0</v>
      </c>
      <c r="J4" s="196"/>
      <c r="K4" s="171" t="s">
        <v>96</v>
      </c>
      <c r="L4" s="207"/>
      <c r="M4" s="196" t="s">
        <v>0</v>
      </c>
      <c r="N4" s="196"/>
      <c r="O4" s="171" t="s">
        <v>96</v>
      </c>
      <c r="P4" s="193"/>
      <c r="Q4" s="193"/>
      <c r="R4" s="193"/>
    </row>
    <row r="5" spans="1:18" s="158" customFormat="1" ht="125.25" customHeight="1">
      <c r="A5" s="191"/>
      <c r="B5" s="201"/>
      <c r="C5" s="159" t="s">
        <v>47</v>
      </c>
      <c r="D5" s="159" t="s">
        <v>46</v>
      </c>
      <c r="E5" s="159" t="s">
        <v>48</v>
      </c>
      <c r="F5" s="150" t="s">
        <v>47</v>
      </c>
      <c r="G5" s="150" t="s">
        <v>46</v>
      </c>
      <c r="H5" s="150" t="s">
        <v>48</v>
      </c>
      <c r="I5" s="150" t="s">
        <v>47</v>
      </c>
      <c r="J5" s="150" t="s">
        <v>46</v>
      </c>
      <c r="K5" s="150" t="s">
        <v>48</v>
      </c>
      <c r="L5" s="208"/>
      <c r="M5" s="150" t="s">
        <v>47</v>
      </c>
      <c r="N5" s="150" t="s">
        <v>46</v>
      </c>
      <c r="O5" s="150" t="s">
        <v>48</v>
      </c>
      <c r="P5" s="193"/>
      <c r="Q5" s="193"/>
      <c r="R5" s="193"/>
    </row>
    <row r="6" spans="1:18" s="40" customFormat="1" ht="23.25" customHeight="1">
      <c r="A6" s="37" t="s">
        <v>1</v>
      </c>
      <c r="B6" s="24">
        <v>12</v>
      </c>
      <c r="C6" s="108"/>
      <c r="D6" s="108">
        <v>89</v>
      </c>
      <c r="E6" s="109"/>
      <c r="F6" s="41"/>
      <c r="G6" s="21">
        <v>2904</v>
      </c>
      <c r="H6" s="41"/>
      <c r="I6" s="39"/>
      <c r="J6" s="39">
        <v>1.12</v>
      </c>
      <c r="K6" s="39"/>
      <c r="L6" s="170">
        <v>0.147</v>
      </c>
      <c r="M6" s="42">
        <f>ROUND(C6*F6*I6*L6/1000,1)</f>
        <v>0</v>
      </c>
      <c r="N6" s="42">
        <f>ROUND(D6*G6*J6*L6/1000,1)+0.2</f>
        <v>42.800000000000004</v>
      </c>
      <c r="O6" s="42">
        <f>ROUND(E6*H6*K6*L6/1000,1)</f>
        <v>0</v>
      </c>
      <c r="P6" s="42">
        <f>SUM(M6:O6)</f>
        <v>42.800000000000004</v>
      </c>
      <c r="Q6" s="155">
        <v>42.8</v>
      </c>
      <c r="R6" s="155">
        <f>Q6-P6</f>
        <v>0</v>
      </c>
    </row>
    <row r="7" spans="1:18" s="40" customFormat="1" ht="21" customHeight="1">
      <c r="A7" s="37" t="s">
        <v>89</v>
      </c>
      <c r="B7" s="24">
        <v>12</v>
      </c>
      <c r="C7" s="108">
        <v>108</v>
      </c>
      <c r="D7" s="108">
        <v>70</v>
      </c>
      <c r="E7" s="109">
        <v>30</v>
      </c>
      <c r="F7" s="41">
        <v>2685</v>
      </c>
      <c r="G7" s="21">
        <v>2904</v>
      </c>
      <c r="H7" s="41">
        <v>3775</v>
      </c>
      <c r="I7" s="39">
        <v>1.11</v>
      </c>
      <c r="J7" s="39">
        <v>1.07</v>
      </c>
      <c r="K7" s="39">
        <v>1</v>
      </c>
      <c r="L7" s="170">
        <v>0.198</v>
      </c>
      <c r="M7" s="42">
        <f>ROUND(C7*F7*I7*L7/1000,1)</f>
        <v>63.7</v>
      </c>
      <c r="N7" s="42">
        <f>ROUND(D7*G7*J7*L7/1000,1)</f>
        <v>43.1</v>
      </c>
      <c r="O7" s="42">
        <f>ROUND(E7*H7*K7*L7/1000,1)</f>
        <v>22.4</v>
      </c>
      <c r="P7" s="42">
        <f>SUM(M7:O7)</f>
        <v>129.20000000000002</v>
      </c>
      <c r="Q7" s="155">
        <v>129.2</v>
      </c>
      <c r="R7" s="155">
        <f aca="true" t="shared" si="0" ref="R7:R53">Q7-P7</f>
        <v>0</v>
      </c>
    </row>
    <row r="8" spans="1:19" ht="15.75">
      <c r="A8" s="37" t="s">
        <v>2</v>
      </c>
      <c r="B8" s="24">
        <v>12</v>
      </c>
      <c r="C8" s="110">
        <v>32</v>
      </c>
      <c r="D8" s="110">
        <v>73</v>
      </c>
      <c r="E8" s="111"/>
      <c r="F8" s="41">
        <v>2685</v>
      </c>
      <c r="G8" s="21">
        <v>2904</v>
      </c>
      <c r="H8" s="41"/>
      <c r="I8" s="39">
        <v>1</v>
      </c>
      <c r="J8" s="39">
        <v>1.37</v>
      </c>
      <c r="K8" s="39"/>
      <c r="L8" s="170">
        <v>0.17</v>
      </c>
      <c r="M8" s="42">
        <f>ROUND(C8*F8*I8*L8/1000,1)</f>
        <v>14.6</v>
      </c>
      <c r="N8" s="42">
        <f aca="true" t="shared" si="1" ref="N8:N53">ROUND(D8*G8*J8*L8/1000,1)</f>
        <v>49.4</v>
      </c>
      <c r="O8" s="42">
        <f>ROUND(E8*H8*K8*L8/1000,1)</f>
        <v>0</v>
      </c>
      <c r="P8" s="42">
        <f>SUM(M8:O8)</f>
        <v>64</v>
      </c>
      <c r="Q8" s="46">
        <v>64</v>
      </c>
      <c r="R8" s="155">
        <f t="shared" si="0"/>
        <v>0</v>
      </c>
      <c r="S8" s="40"/>
    </row>
    <row r="9" spans="1:19" ht="15.75">
      <c r="A9" s="37" t="s">
        <v>90</v>
      </c>
      <c r="B9" s="24">
        <v>12</v>
      </c>
      <c r="C9" s="110">
        <v>83</v>
      </c>
      <c r="D9" s="110">
        <v>37</v>
      </c>
      <c r="E9" s="111"/>
      <c r="F9" s="41">
        <v>2685</v>
      </c>
      <c r="G9" s="21">
        <v>2904</v>
      </c>
      <c r="H9" s="41"/>
      <c r="I9" s="39">
        <v>1</v>
      </c>
      <c r="J9" s="39">
        <v>1.35</v>
      </c>
      <c r="K9" s="39"/>
      <c r="L9" s="170">
        <v>0.166</v>
      </c>
      <c r="M9" s="42">
        <f>ROUND(C9*F9*I9*L9/1000,1)</f>
        <v>37</v>
      </c>
      <c r="N9" s="42">
        <f>ROUND(D9*G9*J9*L9/1000,1)+0.1</f>
        <v>24.200000000000003</v>
      </c>
      <c r="O9" s="42">
        <f>ROUND(E9*H9*K9*L9/1000,1)</f>
        <v>0</v>
      </c>
      <c r="P9" s="42">
        <f>SUM(M9:O9)</f>
        <v>61.2</v>
      </c>
      <c r="Q9" s="46">
        <v>61.2</v>
      </c>
      <c r="R9" s="155">
        <f t="shared" si="0"/>
        <v>0</v>
      </c>
      <c r="S9" s="40"/>
    </row>
    <row r="10" spans="1:19" ht="15.75">
      <c r="A10" s="37" t="s">
        <v>91</v>
      </c>
      <c r="B10" s="24">
        <v>12</v>
      </c>
      <c r="C10" s="110">
        <v>45</v>
      </c>
      <c r="D10" s="110">
        <v>62</v>
      </c>
      <c r="E10" s="115">
        <v>13</v>
      </c>
      <c r="F10" s="41">
        <v>2685</v>
      </c>
      <c r="G10" s="21">
        <v>2904</v>
      </c>
      <c r="H10" s="41">
        <v>3775</v>
      </c>
      <c r="I10" s="39">
        <v>1.1</v>
      </c>
      <c r="J10" s="39">
        <v>1.2</v>
      </c>
      <c r="K10" s="39">
        <v>1</v>
      </c>
      <c r="L10" s="170">
        <v>0.12</v>
      </c>
      <c r="M10" s="42">
        <f>ROUND(C10*F10*I10*L10/1000,1)</f>
        <v>15.9</v>
      </c>
      <c r="N10" s="42">
        <f>ROUND(D10*G10*J10*L10/1000,1)+0.5</f>
        <v>26.4</v>
      </c>
      <c r="O10" s="42">
        <f>ROUND(E10*H10*K10*L10/1000,1)</f>
        <v>5.9</v>
      </c>
      <c r="P10" s="42">
        <f>SUM(M10:O10)</f>
        <v>48.199999999999996</v>
      </c>
      <c r="Q10" s="46">
        <v>48.2</v>
      </c>
      <c r="R10" s="155">
        <f t="shared" si="0"/>
        <v>0</v>
      </c>
      <c r="S10" s="40"/>
    </row>
    <row r="11" spans="1:19" ht="15.75">
      <c r="A11" s="6" t="s">
        <v>3</v>
      </c>
      <c r="B11" s="24">
        <v>12</v>
      </c>
      <c r="C11" s="110">
        <v>40</v>
      </c>
      <c r="D11" s="110">
        <v>95</v>
      </c>
      <c r="E11" s="109"/>
      <c r="F11" s="41">
        <v>2685</v>
      </c>
      <c r="G11" s="21">
        <v>2904</v>
      </c>
      <c r="H11" s="41"/>
      <c r="I11" s="39">
        <v>1</v>
      </c>
      <c r="J11" s="39">
        <v>1.05</v>
      </c>
      <c r="K11" s="39"/>
      <c r="L11" s="157">
        <v>0.158</v>
      </c>
      <c r="M11" s="22">
        <f aca="true" t="shared" si="2" ref="M11:M53">ROUND(C11*F11*I11*L11/1000,1)</f>
        <v>17</v>
      </c>
      <c r="N11" s="42">
        <f>ROUND(D11*G11*J11*L11/1000,1)-0.2</f>
        <v>45.599999999999994</v>
      </c>
      <c r="O11" s="22">
        <f aca="true" t="shared" si="3" ref="O11:O53">ROUND(E11*H11*K11*L11/1000,1)</f>
        <v>0</v>
      </c>
      <c r="P11" s="22">
        <f aca="true" t="shared" si="4" ref="P11:P53">SUM(M11:O11)</f>
        <v>62.599999999999994</v>
      </c>
      <c r="Q11" s="46">
        <v>62.6</v>
      </c>
      <c r="R11" s="155">
        <f t="shared" si="0"/>
        <v>0</v>
      </c>
      <c r="S11" s="40"/>
    </row>
    <row r="12" spans="1:19" ht="15.75">
      <c r="A12" s="6" t="s">
        <v>4</v>
      </c>
      <c r="B12" s="24">
        <v>12</v>
      </c>
      <c r="C12" s="110">
        <v>41</v>
      </c>
      <c r="D12" s="110">
        <v>152</v>
      </c>
      <c r="E12" s="109">
        <v>42</v>
      </c>
      <c r="F12" s="41">
        <v>2685</v>
      </c>
      <c r="G12" s="21">
        <v>2904</v>
      </c>
      <c r="H12" s="41">
        <v>3775</v>
      </c>
      <c r="I12" s="39">
        <v>1</v>
      </c>
      <c r="J12" s="39">
        <v>1</v>
      </c>
      <c r="K12" s="39">
        <v>1</v>
      </c>
      <c r="L12" s="157">
        <v>0.181</v>
      </c>
      <c r="M12" s="22">
        <f t="shared" si="2"/>
        <v>19.9</v>
      </c>
      <c r="N12" s="42">
        <f>ROUND(D12*G12*J12*L12/1000,1)</f>
        <v>79.9</v>
      </c>
      <c r="O12" s="22">
        <f t="shared" si="3"/>
        <v>28.7</v>
      </c>
      <c r="P12" s="22">
        <f t="shared" si="4"/>
        <v>128.5</v>
      </c>
      <c r="Q12" s="46">
        <v>128.5</v>
      </c>
      <c r="R12" s="155">
        <f t="shared" si="0"/>
        <v>0</v>
      </c>
      <c r="S12" s="40"/>
    </row>
    <row r="13" spans="1:19" ht="15.75">
      <c r="A13" s="6" t="s">
        <v>5</v>
      </c>
      <c r="B13" s="24">
        <v>12</v>
      </c>
      <c r="C13" s="110">
        <v>23</v>
      </c>
      <c r="D13" s="110">
        <v>171</v>
      </c>
      <c r="E13" s="109">
        <v>24</v>
      </c>
      <c r="F13" s="41">
        <v>2685</v>
      </c>
      <c r="G13" s="21">
        <v>2904</v>
      </c>
      <c r="H13" s="41">
        <v>3775</v>
      </c>
      <c r="I13" s="39">
        <v>1</v>
      </c>
      <c r="J13" s="39">
        <v>1.17</v>
      </c>
      <c r="K13" s="39">
        <v>1</v>
      </c>
      <c r="L13" s="157">
        <v>0.161</v>
      </c>
      <c r="M13" s="22">
        <f t="shared" si="2"/>
        <v>9.9</v>
      </c>
      <c r="N13" s="42">
        <f>ROUND(D13*G13*J13*L13/1000,1)+1.6</f>
        <v>95.1</v>
      </c>
      <c r="O13" s="22">
        <f t="shared" si="3"/>
        <v>14.6</v>
      </c>
      <c r="P13" s="22">
        <f t="shared" si="4"/>
        <v>119.6</v>
      </c>
      <c r="Q13" s="46">
        <v>119.6</v>
      </c>
      <c r="R13" s="155">
        <f t="shared" si="0"/>
        <v>0</v>
      </c>
      <c r="S13" s="40"/>
    </row>
    <row r="14" spans="1:19" ht="15.75">
      <c r="A14" s="6" t="s">
        <v>6</v>
      </c>
      <c r="B14" s="24">
        <v>12</v>
      </c>
      <c r="C14" s="110"/>
      <c r="D14" s="110">
        <v>112</v>
      </c>
      <c r="E14" s="111"/>
      <c r="F14" s="41"/>
      <c r="G14" s="21">
        <v>2904</v>
      </c>
      <c r="H14" s="41"/>
      <c r="I14" s="39"/>
      <c r="J14" s="39">
        <v>1.34</v>
      </c>
      <c r="K14" s="39"/>
      <c r="L14" s="157">
        <v>0.117</v>
      </c>
      <c r="M14" s="22">
        <f t="shared" si="2"/>
        <v>0</v>
      </c>
      <c r="N14" s="42">
        <f>ROUND(D14*G14*J14*L14/1000,1)+0.2</f>
        <v>51.2</v>
      </c>
      <c r="O14" s="22">
        <f t="shared" si="3"/>
        <v>0</v>
      </c>
      <c r="P14" s="22">
        <f t="shared" si="4"/>
        <v>51.2</v>
      </c>
      <c r="Q14" s="46">
        <v>51.2</v>
      </c>
      <c r="R14" s="155">
        <f t="shared" si="0"/>
        <v>0</v>
      </c>
      <c r="S14" s="40"/>
    </row>
    <row r="15" spans="1:19" ht="15.75">
      <c r="A15" s="6" t="s">
        <v>7</v>
      </c>
      <c r="B15" s="24">
        <v>12</v>
      </c>
      <c r="C15" s="110">
        <v>26</v>
      </c>
      <c r="D15" s="110">
        <v>182</v>
      </c>
      <c r="E15" s="109">
        <v>47</v>
      </c>
      <c r="F15" s="41">
        <v>2685</v>
      </c>
      <c r="G15" s="21">
        <v>2904</v>
      </c>
      <c r="H15" s="41">
        <v>3775</v>
      </c>
      <c r="I15" s="39">
        <v>1</v>
      </c>
      <c r="J15" s="39">
        <v>1.1</v>
      </c>
      <c r="K15" s="39">
        <v>1</v>
      </c>
      <c r="L15" s="157">
        <v>0.161</v>
      </c>
      <c r="M15" s="22">
        <f t="shared" si="2"/>
        <v>11.2</v>
      </c>
      <c r="N15" s="42">
        <f t="shared" si="1"/>
        <v>93.6</v>
      </c>
      <c r="O15" s="22">
        <f t="shared" si="3"/>
        <v>28.6</v>
      </c>
      <c r="P15" s="22">
        <f t="shared" si="4"/>
        <v>133.4</v>
      </c>
      <c r="Q15" s="46">
        <v>133.4</v>
      </c>
      <c r="R15" s="155">
        <f t="shared" si="0"/>
        <v>0</v>
      </c>
      <c r="S15" s="40"/>
    </row>
    <row r="16" spans="1:19" ht="15.75">
      <c r="A16" s="6" t="s">
        <v>8</v>
      </c>
      <c r="B16" s="24">
        <v>12</v>
      </c>
      <c r="C16" s="110">
        <v>40</v>
      </c>
      <c r="D16" s="110">
        <v>185</v>
      </c>
      <c r="E16" s="109">
        <v>45</v>
      </c>
      <c r="F16" s="41">
        <v>2685</v>
      </c>
      <c r="G16" s="21">
        <v>2904</v>
      </c>
      <c r="H16" s="41">
        <v>3775</v>
      </c>
      <c r="I16" s="39">
        <v>1</v>
      </c>
      <c r="J16" s="39">
        <v>1</v>
      </c>
      <c r="K16" s="39">
        <v>1</v>
      </c>
      <c r="L16" s="157">
        <v>0.164</v>
      </c>
      <c r="M16" s="22">
        <f t="shared" si="2"/>
        <v>17.6</v>
      </c>
      <c r="N16" s="42">
        <f>ROUND(D16*G16*J16*L16/1000,1)+0.2</f>
        <v>88.3</v>
      </c>
      <c r="O16" s="22">
        <f t="shared" si="3"/>
        <v>27.9</v>
      </c>
      <c r="P16" s="22">
        <f t="shared" si="4"/>
        <v>133.8</v>
      </c>
      <c r="Q16" s="46">
        <v>133.8</v>
      </c>
      <c r="R16" s="155">
        <f t="shared" si="0"/>
        <v>0</v>
      </c>
      <c r="S16" s="40"/>
    </row>
    <row r="17" spans="1:19" ht="15.75">
      <c r="A17" s="6" t="s">
        <v>9</v>
      </c>
      <c r="B17" s="24">
        <v>12</v>
      </c>
      <c r="C17" s="110">
        <v>21</v>
      </c>
      <c r="D17" s="110">
        <v>155</v>
      </c>
      <c r="E17" s="109">
        <v>30</v>
      </c>
      <c r="F17" s="41">
        <v>2685</v>
      </c>
      <c r="G17" s="21">
        <v>2904</v>
      </c>
      <c r="H17" s="41">
        <v>3775</v>
      </c>
      <c r="I17" s="39">
        <v>1</v>
      </c>
      <c r="J17" s="39">
        <v>1.13</v>
      </c>
      <c r="K17" s="39">
        <v>1</v>
      </c>
      <c r="L17" s="157">
        <v>0.174</v>
      </c>
      <c r="M17" s="22">
        <f t="shared" si="2"/>
        <v>9.8</v>
      </c>
      <c r="N17" s="42">
        <f>ROUND(D17*G17*J17*L17/1000,1)-0.1</f>
        <v>88.4</v>
      </c>
      <c r="O17" s="22">
        <f t="shared" si="3"/>
        <v>19.7</v>
      </c>
      <c r="P17" s="22">
        <f t="shared" si="4"/>
        <v>117.9</v>
      </c>
      <c r="Q17" s="46">
        <v>117.9</v>
      </c>
      <c r="R17" s="155">
        <f t="shared" si="0"/>
        <v>0</v>
      </c>
      <c r="S17" s="40"/>
    </row>
    <row r="18" spans="1:19" ht="15.75">
      <c r="A18" s="6" t="s">
        <v>10</v>
      </c>
      <c r="B18" s="24">
        <v>12</v>
      </c>
      <c r="C18" s="110">
        <v>39</v>
      </c>
      <c r="D18" s="110">
        <v>146</v>
      </c>
      <c r="E18" s="109">
        <v>30</v>
      </c>
      <c r="F18" s="41">
        <v>2685</v>
      </c>
      <c r="G18" s="21">
        <v>2904</v>
      </c>
      <c r="H18" s="41">
        <v>3775</v>
      </c>
      <c r="I18" s="39">
        <v>1.02</v>
      </c>
      <c r="J18" s="39">
        <v>1.03</v>
      </c>
      <c r="K18" s="39">
        <v>1</v>
      </c>
      <c r="L18" s="157">
        <v>0.187</v>
      </c>
      <c r="M18" s="22">
        <f t="shared" si="2"/>
        <v>20</v>
      </c>
      <c r="N18" s="42">
        <f>ROUND(D18*G18*J18*L18/1000,1)-0.1</f>
        <v>81.60000000000001</v>
      </c>
      <c r="O18" s="22">
        <f t="shared" si="3"/>
        <v>21.2</v>
      </c>
      <c r="P18" s="22">
        <f t="shared" si="4"/>
        <v>122.80000000000001</v>
      </c>
      <c r="Q18" s="46">
        <v>122.8</v>
      </c>
      <c r="R18" s="155">
        <f t="shared" si="0"/>
        <v>0</v>
      </c>
      <c r="S18" s="40"/>
    </row>
    <row r="19" spans="1:19" ht="15.75">
      <c r="A19" s="7" t="s">
        <v>11</v>
      </c>
      <c r="B19" s="24">
        <v>12</v>
      </c>
      <c r="C19" s="112">
        <v>24</v>
      </c>
      <c r="D19" s="112">
        <v>48</v>
      </c>
      <c r="E19" s="113">
        <v>15</v>
      </c>
      <c r="F19" s="41">
        <v>2685</v>
      </c>
      <c r="G19" s="21">
        <v>2904</v>
      </c>
      <c r="H19" s="41">
        <v>3775</v>
      </c>
      <c r="I19" s="39">
        <v>1</v>
      </c>
      <c r="J19" s="39">
        <v>1.04</v>
      </c>
      <c r="K19" s="39">
        <v>1</v>
      </c>
      <c r="L19" s="157">
        <v>0.139</v>
      </c>
      <c r="M19" s="22">
        <f t="shared" si="2"/>
        <v>9</v>
      </c>
      <c r="N19" s="42">
        <f>ROUND(D19*G19*J19*L19/1000,1)-0.2</f>
        <v>20</v>
      </c>
      <c r="O19" s="22">
        <f t="shared" si="3"/>
        <v>7.9</v>
      </c>
      <c r="P19" s="22">
        <f t="shared" si="4"/>
        <v>36.9</v>
      </c>
      <c r="Q19" s="46">
        <v>36.9</v>
      </c>
      <c r="R19" s="155">
        <f t="shared" si="0"/>
        <v>0</v>
      </c>
      <c r="S19" s="40"/>
    </row>
    <row r="20" spans="1:19" ht="15.75">
      <c r="A20" s="6" t="s">
        <v>25</v>
      </c>
      <c r="B20" s="25">
        <v>10</v>
      </c>
      <c r="C20" s="110"/>
      <c r="D20" s="110">
        <v>30</v>
      </c>
      <c r="E20" s="111"/>
      <c r="F20" s="21"/>
      <c r="G20" s="21">
        <v>2323</v>
      </c>
      <c r="H20" s="21"/>
      <c r="I20" s="39"/>
      <c r="J20" s="39">
        <v>1</v>
      </c>
      <c r="K20" s="39"/>
      <c r="L20" s="157">
        <v>0.143</v>
      </c>
      <c r="M20" s="22">
        <f t="shared" si="2"/>
        <v>0</v>
      </c>
      <c r="N20" s="42">
        <f t="shared" si="1"/>
        <v>10</v>
      </c>
      <c r="O20" s="22">
        <f t="shared" si="3"/>
        <v>0</v>
      </c>
      <c r="P20" s="22">
        <f t="shared" si="4"/>
        <v>10</v>
      </c>
      <c r="Q20" s="46">
        <v>10</v>
      </c>
      <c r="R20" s="155">
        <f t="shared" si="0"/>
        <v>0</v>
      </c>
      <c r="S20" s="40"/>
    </row>
    <row r="21" spans="1:19" ht="15.75">
      <c r="A21" s="6" t="s">
        <v>24</v>
      </c>
      <c r="B21" s="25">
        <v>10</v>
      </c>
      <c r="C21" s="110"/>
      <c r="D21" s="110">
        <v>20</v>
      </c>
      <c r="E21" s="109"/>
      <c r="F21" s="21"/>
      <c r="G21" s="21">
        <v>2323</v>
      </c>
      <c r="H21" s="21"/>
      <c r="I21" s="39"/>
      <c r="J21" s="39">
        <v>1.25</v>
      </c>
      <c r="K21" s="39"/>
      <c r="L21" s="157">
        <v>0.245</v>
      </c>
      <c r="M21" s="22">
        <f t="shared" si="2"/>
        <v>0</v>
      </c>
      <c r="N21" s="42">
        <f t="shared" si="1"/>
        <v>14.2</v>
      </c>
      <c r="O21" s="22">
        <f t="shared" si="3"/>
        <v>0</v>
      </c>
      <c r="P21" s="22">
        <f t="shared" si="4"/>
        <v>14.2</v>
      </c>
      <c r="Q21" s="46">
        <v>14.2</v>
      </c>
      <c r="R21" s="155">
        <f t="shared" si="0"/>
        <v>0</v>
      </c>
      <c r="S21" s="40"/>
    </row>
    <row r="22" spans="1:19" ht="15.75">
      <c r="A22" s="6" t="s">
        <v>12</v>
      </c>
      <c r="B22" s="25">
        <v>10</v>
      </c>
      <c r="C22" s="110"/>
      <c r="D22" s="110">
        <v>75</v>
      </c>
      <c r="E22" s="109"/>
      <c r="F22" s="21"/>
      <c r="G22" s="21">
        <v>2323</v>
      </c>
      <c r="H22" s="21"/>
      <c r="I22" s="39"/>
      <c r="J22" s="39">
        <v>1</v>
      </c>
      <c r="K22" s="39"/>
      <c r="L22" s="157">
        <v>0.127</v>
      </c>
      <c r="M22" s="22">
        <f t="shared" si="2"/>
        <v>0</v>
      </c>
      <c r="N22" s="42">
        <f>ROUND(D22*G22*J22*L22/1000,1)+0.1</f>
        <v>22.200000000000003</v>
      </c>
      <c r="O22" s="22">
        <f t="shared" si="3"/>
        <v>0</v>
      </c>
      <c r="P22" s="22">
        <f t="shared" si="4"/>
        <v>22.200000000000003</v>
      </c>
      <c r="Q22" s="46">
        <v>22.2</v>
      </c>
      <c r="R22" s="155">
        <f t="shared" si="0"/>
        <v>0</v>
      </c>
      <c r="S22" s="40"/>
    </row>
    <row r="23" spans="1:19" ht="15.75">
      <c r="A23" s="6" t="s">
        <v>13</v>
      </c>
      <c r="B23" s="25">
        <v>10</v>
      </c>
      <c r="C23" s="110"/>
      <c r="D23" s="110">
        <v>41</v>
      </c>
      <c r="E23" s="109"/>
      <c r="F23" s="21"/>
      <c r="G23" s="21">
        <v>2323</v>
      </c>
      <c r="H23" s="21"/>
      <c r="I23" s="39"/>
      <c r="J23" s="39">
        <v>1.22</v>
      </c>
      <c r="K23" s="39"/>
      <c r="L23" s="157">
        <v>0.172</v>
      </c>
      <c r="M23" s="22">
        <f t="shared" si="2"/>
        <v>0</v>
      </c>
      <c r="N23" s="42">
        <f>ROUND(D23*G23*J23*L23/1000,1)-0.1</f>
        <v>19.9</v>
      </c>
      <c r="O23" s="22">
        <f t="shared" si="3"/>
        <v>0</v>
      </c>
      <c r="P23" s="22">
        <f t="shared" si="4"/>
        <v>19.9</v>
      </c>
      <c r="Q23" s="46">
        <v>19.9</v>
      </c>
      <c r="R23" s="155">
        <f t="shared" si="0"/>
        <v>0</v>
      </c>
      <c r="S23" s="40"/>
    </row>
    <row r="24" spans="1:19" ht="15.75">
      <c r="A24" s="6" t="s">
        <v>14</v>
      </c>
      <c r="B24" s="25">
        <v>10</v>
      </c>
      <c r="C24" s="110"/>
      <c r="D24" s="110">
        <v>40</v>
      </c>
      <c r="E24" s="109"/>
      <c r="F24" s="21"/>
      <c r="G24" s="21">
        <v>2323</v>
      </c>
      <c r="H24" s="21"/>
      <c r="I24" s="39"/>
      <c r="J24" s="39">
        <v>1.25</v>
      </c>
      <c r="K24" s="39"/>
      <c r="L24" s="157">
        <v>0.186</v>
      </c>
      <c r="M24" s="22">
        <f t="shared" si="2"/>
        <v>0</v>
      </c>
      <c r="N24" s="42">
        <f t="shared" si="1"/>
        <v>21.6</v>
      </c>
      <c r="O24" s="22">
        <f t="shared" si="3"/>
        <v>0</v>
      </c>
      <c r="P24" s="22">
        <f t="shared" si="4"/>
        <v>21.6</v>
      </c>
      <c r="Q24" s="46">
        <v>21.6</v>
      </c>
      <c r="R24" s="155">
        <f t="shared" si="0"/>
        <v>0</v>
      </c>
      <c r="S24" s="40"/>
    </row>
    <row r="25" spans="1:19" s="8" customFormat="1" ht="16.5" customHeight="1">
      <c r="A25" s="7" t="s">
        <v>15</v>
      </c>
      <c r="B25" s="26">
        <v>10</v>
      </c>
      <c r="C25" s="110"/>
      <c r="D25" s="110">
        <v>57</v>
      </c>
      <c r="E25" s="109"/>
      <c r="F25" s="21"/>
      <c r="G25" s="21">
        <v>2323</v>
      </c>
      <c r="H25" s="21"/>
      <c r="I25" s="39"/>
      <c r="J25" s="39">
        <v>1</v>
      </c>
      <c r="K25" s="39"/>
      <c r="L25" s="157">
        <v>0.149</v>
      </c>
      <c r="M25" s="22">
        <f t="shared" si="2"/>
        <v>0</v>
      </c>
      <c r="N25" s="42">
        <f>ROUND(D25*G25*J25*L25/1000,1)+0.1</f>
        <v>19.8</v>
      </c>
      <c r="O25" s="22">
        <f t="shared" si="3"/>
        <v>0</v>
      </c>
      <c r="P25" s="22">
        <f t="shared" si="4"/>
        <v>19.8</v>
      </c>
      <c r="Q25" s="161">
        <v>19.8</v>
      </c>
      <c r="R25" s="155">
        <f t="shared" si="0"/>
        <v>0</v>
      </c>
      <c r="S25" s="40"/>
    </row>
    <row r="26" spans="1:19" ht="19.5" customHeight="1">
      <c r="A26" s="6" t="s">
        <v>26</v>
      </c>
      <c r="B26" s="25">
        <v>9</v>
      </c>
      <c r="C26" s="110"/>
      <c r="D26" s="110">
        <v>18</v>
      </c>
      <c r="E26" s="114"/>
      <c r="F26" s="21"/>
      <c r="G26" s="21">
        <v>2323</v>
      </c>
      <c r="H26" s="21"/>
      <c r="I26" s="39"/>
      <c r="J26" s="39">
        <v>1.39</v>
      </c>
      <c r="K26" s="39"/>
      <c r="L26" s="157">
        <v>0.068</v>
      </c>
      <c r="M26" s="22">
        <f t="shared" si="2"/>
        <v>0</v>
      </c>
      <c r="N26" s="42">
        <f t="shared" si="1"/>
        <v>4</v>
      </c>
      <c r="O26" s="22">
        <f t="shared" si="3"/>
        <v>0</v>
      </c>
      <c r="P26" s="22">
        <f t="shared" si="4"/>
        <v>4</v>
      </c>
      <c r="Q26" s="46">
        <v>4</v>
      </c>
      <c r="R26" s="155">
        <f t="shared" si="0"/>
        <v>0</v>
      </c>
      <c r="S26" s="40"/>
    </row>
    <row r="27" spans="1:19" ht="19.5" customHeight="1">
      <c r="A27" s="6" t="s">
        <v>27</v>
      </c>
      <c r="B27" s="25">
        <v>9</v>
      </c>
      <c r="C27" s="110"/>
      <c r="D27" s="110">
        <v>9</v>
      </c>
      <c r="E27" s="109"/>
      <c r="F27" s="21"/>
      <c r="G27" s="21">
        <v>2323</v>
      </c>
      <c r="H27" s="21"/>
      <c r="I27" s="39"/>
      <c r="J27" s="39">
        <v>2.78</v>
      </c>
      <c r="K27" s="39"/>
      <c r="L27" s="157">
        <v>0.079</v>
      </c>
      <c r="M27" s="22">
        <f t="shared" si="2"/>
        <v>0</v>
      </c>
      <c r="N27" s="42">
        <f t="shared" si="1"/>
        <v>4.6</v>
      </c>
      <c r="O27" s="22">
        <f t="shared" si="3"/>
        <v>0</v>
      </c>
      <c r="P27" s="22">
        <f t="shared" si="4"/>
        <v>4.6</v>
      </c>
      <c r="Q27" s="46">
        <v>4.6</v>
      </c>
      <c r="R27" s="155">
        <f t="shared" si="0"/>
        <v>0</v>
      </c>
      <c r="S27" s="40"/>
    </row>
    <row r="28" spans="1:19" ht="19.5" customHeight="1">
      <c r="A28" s="6" t="s">
        <v>28</v>
      </c>
      <c r="B28" s="25">
        <v>9</v>
      </c>
      <c r="C28" s="110"/>
      <c r="D28" s="110">
        <v>12</v>
      </c>
      <c r="E28" s="109"/>
      <c r="F28" s="21"/>
      <c r="G28" s="21">
        <v>2323</v>
      </c>
      <c r="H28" s="21"/>
      <c r="I28" s="39"/>
      <c r="J28" s="39">
        <v>2.08</v>
      </c>
      <c r="K28" s="39"/>
      <c r="L28" s="157">
        <v>0.079</v>
      </c>
      <c r="M28" s="22">
        <f t="shared" si="2"/>
        <v>0</v>
      </c>
      <c r="N28" s="42">
        <f t="shared" si="1"/>
        <v>4.6</v>
      </c>
      <c r="O28" s="22">
        <f t="shared" si="3"/>
        <v>0</v>
      </c>
      <c r="P28" s="22">
        <f t="shared" si="4"/>
        <v>4.6</v>
      </c>
      <c r="Q28" s="46">
        <v>4.6</v>
      </c>
      <c r="R28" s="155">
        <f t="shared" si="0"/>
        <v>0</v>
      </c>
      <c r="S28" s="40"/>
    </row>
    <row r="29" spans="1:19" ht="27.75" customHeight="1">
      <c r="A29" s="6" t="s">
        <v>29</v>
      </c>
      <c r="B29" s="25">
        <v>10</v>
      </c>
      <c r="C29" s="110"/>
      <c r="D29" s="110">
        <v>32</v>
      </c>
      <c r="E29" s="109"/>
      <c r="F29" s="21"/>
      <c r="G29" s="21">
        <v>2323</v>
      </c>
      <c r="H29" s="21"/>
      <c r="I29" s="39"/>
      <c r="J29" s="39">
        <v>1</v>
      </c>
      <c r="K29" s="39"/>
      <c r="L29" s="157">
        <v>0.07</v>
      </c>
      <c r="M29" s="22">
        <f t="shared" si="2"/>
        <v>0</v>
      </c>
      <c r="N29" s="42">
        <f t="shared" si="1"/>
        <v>5.2</v>
      </c>
      <c r="O29" s="22">
        <f t="shared" si="3"/>
        <v>0</v>
      </c>
      <c r="P29" s="22">
        <f t="shared" si="4"/>
        <v>5.2</v>
      </c>
      <c r="Q29" s="46">
        <v>5.2</v>
      </c>
      <c r="R29" s="155">
        <f t="shared" si="0"/>
        <v>0</v>
      </c>
      <c r="S29" s="40"/>
    </row>
    <row r="30" spans="1:19" ht="22.5" customHeight="1">
      <c r="A30" s="6" t="s">
        <v>16</v>
      </c>
      <c r="B30" s="27">
        <v>10</v>
      </c>
      <c r="C30" s="108"/>
      <c r="D30" s="108">
        <v>105</v>
      </c>
      <c r="E30" s="109"/>
      <c r="F30" s="21"/>
      <c r="G30" s="21">
        <v>2323</v>
      </c>
      <c r="H30" s="21"/>
      <c r="I30" s="39"/>
      <c r="J30" s="39">
        <v>1</v>
      </c>
      <c r="K30" s="39"/>
      <c r="L30" s="157">
        <v>0.213</v>
      </c>
      <c r="M30" s="22">
        <f t="shared" si="2"/>
        <v>0</v>
      </c>
      <c r="N30" s="42">
        <f t="shared" si="1"/>
        <v>52</v>
      </c>
      <c r="O30" s="22">
        <f t="shared" si="3"/>
        <v>0</v>
      </c>
      <c r="P30" s="22">
        <f t="shared" si="4"/>
        <v>52</v>
      </c>
      <c r="Q30" s="46">
        <v>52</v>
      </c>
      <c r="R30" s="155">
        <f t="shared" si="0"/>
        <v>0</v>
      </c>
      <c r="S30" s="40"/>
    </row>
    <row r="31" spans="1:19" ht="18.75" customHeight="1">
      <c r="A31" s="6" t="s">
        <v>17</v>
      </c>
      <c r="B31" s="25">
        <v>10</v>
      </c>
      <c r="C31" s="110"/>
      <c r="D31" s="110">
        <v>85</v>
      </c>
      <c r="E31" s="109">
        <v>20</v>
      </c>
      <c r="F31" s="21"/>
      <c r="G31" s="21">
        <v>2323</v>
      </c>
      <c r="H31" s="21">
        <v>3020</v>
      </c>
      <c r="I31" s="39"/>
      <c r="J31" s="39">
        <v>1</v>
      </c>
      <c r="K31" s="39">
        <v>1</v>
      </c>
      <c r="L31" s="157">
        <v>0.205</v>
      </c>
      <c r="M31" s="22">
        <f t="shared" si="2"/>
        <v>0</v>
      </c>
      <c r="N31" s="42">
        <f>ROUND(D31*G31*J31*L31/1000,1)-0.1</f>
        <v>40.4</v>
      </c>
      <c r="O31" s="22">
        <f t="shared" si="3"/>
        <v>12.4</v>
      </c>
      <c r="P31" s="22">
        <f t="shared" si="4"/>
        <v>52.8</v>
      </c>
      <c r="Q31" s="46">
        <v>52.8</v>
      </c>
      <c r="R31" s="155">
        <f t="shared" si="0"/>
        <v>0</v>
      </c>
      <c r="S31" s="40"/>
    </row>
    <row r="32" spans="1:19" s="8" customFormat="1" ht="25.5" customHeight="1">
      <c r="A32" s="7" t="s">
        <v>18</v>
      </c>
      <c r="B32" s="26">
        <v>10</v>
      </c>
      <c r="C32" s="110">
        <v>22</v>
      </c>
      <c r="D32" s="110">
        <v>56</v>
      </c>
      <c r="E32" s="114">
        <v>41</v>
      </c>
      <c r="F32" s="21">
        <v>2148</v>
      </c>
      <c r="G32" s="21">
        <v>2323</v>
      </c>
      <c r="H32" s="21">
        <v>3020</v>
      </c>
      <c r="I32" s="39">
        <v>1</v>
      </c>
      <c r="J32" s="39">
        <v>1</v>
      </c>
      <c r="K32" s="39">
        <v>1</v>
      </c>
      <c r="L32" s="157">
        <v>0.173</v>
      </c>
      <c r="M32" s="22">
        <f t="shared" si="2"/>
        <v>8.2</v>
      </c>
      <c r="N32" s="42">
        <f>ROUND(D32*G32*J32*L32/1000,1)-0.1</f>
        <v>22.4</v>
      </c>
      <c r="O32" s="22">
        <f t="shared" si="3"/>
        <v>21.4</v>
      </c>
      <c r="P32" s="22">
        <f t="shared" si="4"/>
        <v>52</v>
      </c>
      <c r="Q32" s="161">
        <v>52</v>
      </c>
      <c r="R32" s="155">
        <f t="shared" si="0"/>
        <v>0</v>
      </c>
      <c r="S32" s="40"/>
    </row>
    <row r="33" spans="1:19" ht="15.75">
      <c r="A33" s="6" t="s">
        <v>19</v>
      </c>
      <c r="B33" s="25">
        <v>10</v>
      </c>
      <c r="C33" s="110">
        <v>19</v>
      </c>
      <c r="D33" s="110">
        <v>121</v>
      </c>
      <c r="E33" s="111"/>
      <c r="F33" s="21">
        <v>2148</v>
      </c>
      <c r="G33" s="21">
        <v>2323</v>
      </c>
      <c r="H33" s="21"/>
      <c r="I33" s="39">
        <v>1</v>
      </c>
      <c r="J33" s="39">
        <v>1</v>
      </c>
      <c r="K33" s="39"/>
      <c r="L33" s="157">
        <v>0.136</v>
      </c>
      <c r="M33" s="22">
        <f t="shared" si="2"/>
        <v>5.6</v>
      </c>
      <c r="N33" s="42">
        <f>ROUND(D33*G33*J33*L33/1000,1)-0.2</f>
        <v>38</v>
      </c>
      <c r="O33" s="22">
        <f t="shared" si="3"/>
        <v>0</v>
      </c>
      <c r="P33" s="22">
        <f t="shared" si="4"/>
        <v>43.6</v>
      </c>
      <c r="Q33" s="46">
        <v>43.6</v>
      </c>
      <c r="R33" s="155">
        <f t="shared" si="0"/>
        <v>0</v>
      </c>
      <c r="S33" s="40"/>
    </row>
    <row r="34" spans="1:19" ht="15.75">
      <c r="A34" s="6" t="s">
        <v>20</v>
      </c>
      <c r="B34" s="25">
        <v>10</v>
      </c>
      <c r="C34" s="110">
        <v>20</v>
      </c>
      <c r="D34" s="110">
        <v>108</v>
      </c>
      <c r="E34" s="111"/>
      <c r="F34" s="21">
        <v>2148</v>
      </c>
      <c r="G34" s="21">
        <v>2323</v>
      </c>
      <c r="H34" s="21"/>
      <c r="I34" s="39">
        <v>1</v>
      </c>
      <c r="J34" s="39">
        <v>1</v>
      </c>
      <c r="K34" s="39"/>
      <c r="L34" s="157">
        <v>0.172</v>
      </c>
      <c r="M34" s="22">
        <f t="shared" si="2"/>
        <v>7.4</v>
      </c>
      <c r="N34" s="42">
        <f>ROUND(D34*G34*J34*L34/1000,1)-0.2</f>
        <v>43</v>
      </c>
      <c r="O34" s="22">
        <f t="shared" si="3"/>
        <v>0</v>
      </c>
      <c r="P34" s="22">
        <f t="shared" si="4"/>
        <v>50.4</v>
      </c>
      <c r="Q34" s="46">
        <v>50.4</v>
      </c>
      <c r="R34" s="155">
        <f t="shared" si="0"/>
        <v>0</v>
      </c>
      <c r="S34" s="40"/>
    </row>
    <row r="35" spans="1:19" ht="20.25" customHeight="1">
      <c r="A35" s="6" t="s">
        <v>30</v>
      </c>
      <c r="B35" s="25">
        <v>10</v>
      </c>
      <c r="C35" s="110"/>
      <c r="D35" s="110">
        <v>18</v>
      </c>
      <c r="E35" s="111"/>
      <c r="F35" s="21"/>
      <c r="G35" s="21">
        <v>2323</v>
      </c>
      <c r="H35" s="21"/>
      <c r="I35" s="39"/>
      <c r="J35" s="39">
        <v>1.36</v>
      </c>
      <c r="K35" s="39"/>
      <c r="L35" s="157">
        <v>0.189</v>
      </c>
      <c r="M35" s="22">
        <f t="shared" si="2"/>
        <v>0</v>
      </c>
      <c r="N35" s="42">
        <f>ROUND(D35*G35*J35*L35/1000,1)+0.1</f>
        <v>10.799999999999999</v>
      </c>
      <c r="O35" s="22">
        <f t="shared" si="3"/>
        <v>0</v>
      </c>
      <c r="P35" s="22">
        <f t="shared" si="4"/>
        <v>10.799999999999999</v>
      </c>
      <c r="Q35" s="46">
        <v>10.8</v>
      </c>
      <c r="R35" s="155">
        <f t="shared" si="0"/>
        <v>0</v>
      </c>
      <c r="S35" s="40"/>
    </row>
    <row r="36" spans="1:19" ht="15.75">
      <c r="A36" s="6" t="s">
        <v>31</v>
      </c>
      <c r="B36" s="25">
        <v>10</v>
      </c>
      <c r="C36" s="110"/>
      <c r="D36" s="110">
        <v>20</v>
      </c>
      <c r="E36" s="111"/>
      <c r="F36" s="21"/>
      <c r="G36" s="21">
        <v>2323</v>
      </c>
      <c r="H36" s="21"/>
      <c r="I36" s="39"/>
      <c r="J36" s="39">
        <v>1.25</v>
      </c>
      <c r="K36" s="39"/>
      <c r="L36" s="157">
        <v>0.079</v>
      </c>
      <c r="M36" s="22">
        <f t="shared" si="2"/>
        <v>0</v>
      </c>
      <c r="N36" s="42">
        <f t="shared" si="1"/>
        <v>4.6</v>
      </c>
      <c r="O36" s="22">
        <f t="shared" si="3"/>
        <v>0</v>
      </c>
      <c r="P36" s="22">
        <f t="shared" si="4"/>
        <v>4.6</v>
      </c>
      <c r="Q36" s="46">
        <v>4.6</v>
      </c>
      <c r="R36" s="155">
        <f t="shared" si="0"/>
        <v>0</v>
      </c>
      <c r="S36" s="40"/>
    </row>
    <row r="37" spans="1:19" ht="21" customHeight="1">
      <c r="A37" s="6" t="s">
        <v>21</v>
      </c>
      <c r="B37" s="25">
        <v>10</v>
      </c>
      <c r="C37" s="110"/>
      <c r="D37" s="110">
        <v>55</v>
      </c>
      <c r="E37" s="111"/>
      <c r="F37" s="21"/>
      <c r="G37" s="21">
        <v>2323</v>
      </c>
      <c r="H37" s="21"/>
      <c r="I37" s="39"/>
      <c r="J37" s="39">
        <v>1</v>
      </c>
      <c r="K37" s="39"/>
      <c r="L37" s="157">
        <v>0.157</v>
      </c>
      <c r="M37" s="22">
        <f t="shared" si="2"/>
        <v>0</v>
      </c>
      <c r="N37" s="42">
        <f t="shared" si="1"/>
        <v>20.1</v>
      </c>
      <c r="O37" s="22">
        <f t="shared" si="3"/>
        <v>0</v>
      </c>
      <c r="P37" s="22">
        <f t="shared" si="4"/>
        <v>20.1</v>
      </c>
      <c r="Q37" s="46">
        <v>20.1</v>
      </c>
      <c r="R37" s="155">
        <f t="shared" si="0"/>
        <v>0</v>
      </c>
      <c r="S37" s="40"/>
    </row>
    <row r="38" spans="1:19" ht="21" customHeight="1">
      <c r="A38" s="6" t="s">
        <v>32</v>
      </c>
      <c r="B38" s="25">
        <v>9</v>
      </c>
      <c r="C38" s="110"/>
      <c r="D38" s="110">
        <v>12</v>
      </c>
      <c r="E38" s="111"/>
      <c r="F38" s="21"/>
      <c r="G38" s="21">
        <v>2323</v>
      </c>
      <c r="H38" s="21"/>
      <c r="I38" s="39"/>
      <c r="J38" s="39">
        <v>2.08</v>
      </c>
      <c r="K38" s="39"/>
      <c r="L38" s="157">
        <v>0.176</v>
      </c>
      <c r="M38" s="22">
        <f t="shared" si="2"/>
        <v>0</v>
      </c>
      <c r="N38" s="42">
        <f t="shared" si="1"/>
        <v>10.2</v>
      </c>
      <c r="O38" s="22">
        <f t="shared" si="3"/>
        <v>0</v>
      </c>
      <c r="P38" s="22">
        <f t="shared" si="4"/>
        <v>10.2</v>
      </c>
      <c r="Q38" s="46">
        <v>10.2</v>
      </c>
      <c r="R38" s="155">
        <f t="shared" si="0"/>
        <v>0</v>
      </c>
      <c r="S38" s="40"/>
    </row>
    <row r="39" spans="1:19" ht="15.75">
      <c r="A39" s="6" t="s">
        <v>33</v>
      </c>
      <c r="B39" s="25">
        <v>10</v>
      </c>
      <c r="C39" s="110"/>
      <c r="D39" s="110">
        <v>32</v>
      </c>
      <c r="E39" s="111"/>
      <c r="F39" s="21"/>
      <c r="G39" s="21">
        <v>2323</v>
      </c>
      <c r="H39" s="21"/>
      <c r="I39" s="39"/>
      <c r="J39" s="39">
        <v>1.56</v>
      </c>
      <c r="K39" s="39"/>
      <c r="L39" s="157">
        <v>0.086</v>
      </c>
      <c r="M39" s="22">
        <f t="shared" si="2"/>
        <v>0</v>
      </c>
      <c r="N39" s="42">
        <f t="shared" si="1"/>
        <v>10</v>
      </c>
      <c r="O39" s="22">
        <f t="shared" si="3"/>
        <v>0</v>
      </c>
      <c r="P39" s="22">
        <f t="shared" si="4"/>
        <v>10</v>
      </c>
      <c r="Q39" s="46">
        <v>10</v>
      </c>
      <c r="R39" s="155">
        <f t="shared" si="0"/>
        <v>0</v>
      </c>
      <c r="S39" s="40"/>
    </row>
    <row r="40" spans="1:19" ht="15.75">
      <c r="A40" s="6" t="s">
        <v>34</v>
      </c>
      <c r="B40" s="25">
        <v>10</v>
      </c>
      <c r="C40" s="110"/>
      <c r="D40" s="110">
        <v>27</v>
      </c>
      <c r="E40" s="111"/>
      <c r="F40" s="21"/>
      <c r="G40" s="21">
        <v>2323</v>
      </c>
      <c r="H40" s="21"/>
      <c r="I40" s="39"/>
      <c r="J40" s="39">
        <v>1</v>
      </c>
      <c r="K40" s="39"/>
      <c r="L40" s="157">
        <v>0.073</v>
      </c>
      <c r="M40" s="22">
        <f t="shared" si="2"/>
        <v>0</v>
      </c>
      <c r="N40" s="42">
        <f t="shared" si="1"/>
        <v>4.6</v>
      </c>
      <c r="O40" s="22">
        <f t="shared" si="3"/>
        <v>0</v>
      </c>
      <c r="P40" s="22">
        <f t="shared" si="4"/>
        <v>4.6</v>
      </c>
      <c r="Q40" s="46">
        <v>4.6</v>
      </c>
      <c r="R40" s="155">
        <f t="shared" si="0"/>
        <v>0</v>
      </c>
      <c r="S40" s="40"/>
    </row>
    <row r="41" spans="1:19" ht="15.75">
      <c r="A41" s="6" t="s">
        <v>35</v>
      </c>
      <c r="B41" s="25">
        <v>10</v>
      </c>
      <c r="C41" s="110"/>
      <c r="D41" s="110">
        <v>33</v>
      </c>
      <c r="E41" s="115"/>
      <c r="F41" s="21"/>
      <c r="G41" s="21">
        <v>2323</v>
      </c>
      <c r="H41" s="21"/>
      <c r="I41" s="39"/>
      <c r="J41" s="39">
        <v>1.52</v>
      </c>
      <c r="K41" s="39"/>
      <c r="L41" s="157">
        <v>0.176</v>
      </c>
      <c r="M41" s="22">
        <f t="shared" si="2"/>
        <v>0</v>
      </c>
      <c r="N41" s="42">
        <f>ROUND(D41*G41*J41*L41/1000,1)+0.1</f>
        <v>20.6</v>
      </c>
      <c r="O41" s="22">
        <f t="shared" si="3"/>
        <v>0</v>
      </c>
      <c r="P41" s="22">
        <f t="shared" si="4"/>
        <v>20.6</v>
      </c>
      <c r="Q41" s="46">
        <v>20.6</v>
      </c>
      <c r="R41" s="155">
        <f t="shared" si="0"/>
        <v>0</v>
      </c>
      <c r="S41" s="40"/>
    </row>
    <row r="42" spans="1:19" s="8" customFormat="1" ht="16.5" customHeight="1">
      <c r="A42" s="7" t="s">
        <v>36</v>
      </c>
      <c r="B42" s="26">
        <v>9</v>
      </c>
      <c r="C42" s="110"/>
      <c r="D42" s="110">
        <v>20</v>
      </c>
      <c r="E42" s="109"/>
      <c r="F42" s="21"/>
      <c r="G42" s="21">
        <v>2323</v>
      </c>
      <c r="H42" s="21"/>
      <c r="I42" s="39"/>
      <c r="J42" s="39">
        <v>1.25</v>
      </c>
      <c r="K42" s="39"/>
      <c r="L42" s="157">
        <v>0.169</v>
      </c>
      <c r="M42" s="22">
        <f t="shared" si="2"/>
        <v>0</v>
      </c>
      <c r="N42" s="42">
        <f t="shared" si="1"/>
        <v>9.8</v>
      </c>
      <c r="O42" s="22">
        <f t="shared" si="3"/>
        <v>0</v>
      </c>
      <c r="P42" s="22">
        <f t="shared" si="4"/>
        <v>9.8</v>
      </c>
      <c r="Q42" s="161">
        <v>9.8</v>
      </c>
      <c r="R42" s="155">
        <f t="shared" si="0"/>
        <v>0</v>
      </c>
      <c r="S42" s="40"/>
    </row>
    <row r="43" spans="1:19" s="8" customFormat="1" ht="15" customHeight="1">
      <c r="A43" s="7" t="s">
        <v>37</v>
      </c>
      <c r="B43" s="26">
        <v>10</v>
      </c>
      <c r="C43" s="110"/>
      <c r="D43" s="110">
        <v>34</v>
      </c>
      <c r="E43" s="111"/>
      <c r="F43" s="21"/>
      <c r="G43" s="21">
        <v>2323</v>
      </c>
      <c r="H43" s="21"/>
      <c r="I43" s="39"/>
      <c r="J43" s="39">
        <v>1.47</v>
      </c>
      <c r="K43" s="39"/>
      <c r="L43" s="157">
        <v>0.146</v>
      </c>
      <c r="M43" s="22">
        <f t="shared" si="2"/>
        <v>0</v>
      </c>
      <c r="N43" s="42">
        <f t="shared" si="1"/>
        <v>17</v>
      </c>
      <c r="O43" s="22">
        <f t="shared" si="3"/>
        <v>0</v>
      </c>
      <c r="P43" s="22">
        <f t="shared" si="4"/>
        <v>17</v>
      </c>
      <c r="Q43" s="161">
        <v>17</v>
      </c>
      <c r="R43" s="155">
        <f t="shared" si="0"/>
        <v>0</v>
      </c>
      <c r="S43" s="40"/>
    </row>
    <row r="44" spans="1:19" ht="18.75" customHeight="1">
      <c r="A44" s="6" t="s">
        <v>38</v>
      </c>
      <c r="B44" s="25">
        <v>10</v>
      </c>
      <c r="C44" s="110"/>
      <c r="D44" s="110">
        <v>67</v>
      </c>
      <c r="E44" s="111"/>
      <c r="F44" s="21"/>
      <c r="G44" s="21">
        <v>2323</v>
      </c>
      <c r="H44" s="21"/>
      <c r="I44" s="39"/>
      <c r="J44" s="39">
        <v>1.12</v>
      </c>
      <c r="K44" s="39"/>
      <c r="L44" s="157">
        <v>0.165</v>
      </c>
      <c r="M44" s="22">
        <f t="shared" si="2"/>
        <v>0</v>
      </c>
      <c r="N44" s="42">
        <f t="shared" si="1"/>
        <v>28.8</v>
      </c>
      <c r="O44" s="22">
        <f t="shared" si="3"/>
        <v>0</v>
      </c>
      <c r="P44" s="22">
        <f t="shared" si="4"/>
        <v>28.8</v>
      </c>
      <c r="Q44" s="46">
        <v>28.8</v>
      </c>
      <c r="R44" s="155">
        <f t="shared" si="0"/>
        <v>0</v>
      </c>
      <c r="S44" s="40"/>
    </row>
    <row r="45" spans="1:19" ht="15.75">
      <c r="A45" s="6" t="s">
        <v>39</v>
      </c>
      <c r="B45" s="25">
        <v>9</v>
      </c>
      <c r="C45" s="116"/>
      <c r="D45" s="116">
        <v>12</v>
      </c>
      <c r="E45" s="117"/>
      <c r="F45" s="21"/>
      <c r="G45" s="21">
        <v>2323</v>
      </c>
      <c r="H45" s="21"/>
      <c r="I45" s="39"/>
      <c r="J45" s="39">
        <v>2.08</v>
      </c>
      <c r="K45" s="39"/>
      <c r="L45" s="157">
        <v>0.152</v>
      </c>
      <c r="M45" s="22">
        <f t="shared" si="2"/>
        <v>0</v>
      </c>
      <c r="N45" s="42">
        <f t="shared" si="1"/>
        <v>8.8</v>
      </c>
      <c r="O45" s="22">
        <f t="shared" si="3"/>
        <v>0</v>
      </c>
      <c r="P45" s="22">
        <f t="shared" si="4"/>
        <v>8.8</v>
      </c>
      <c r="Q45" s="46">
        <v>8.8</v>
      </c>
      <c r="R45" s="155">
        <f t="shared" si="0"/>
        <v>0</v>
      </c>
      <c r="S45" s="40"/>
    </row>
    <row r="46" spans="1:19" ht="14.25" customHeight="1">
      <c r="A46" s="6" t="s">
        <v>22</v>
      </c>
      <c r="B46" s="28">
        <v>10</v>
      </c>
      <c r="C46" s="118"/>
      <c r="D46" s="118">
        <v>39</v>
      </c>
      <c r="E46" s="118"/>
      <c r="F46" s="21"/>
      <c r="G46" s="21">
        <v>2323</v>
      </c>
      <c r="H46" s="21"/>
      <c r="I46" s="39"/>
      <c r="J46" s="39">
        <v>1.28</v>
      </c>
      <c r="K46" s="39"/>
      <c r="L46" s="157">
        <v>0.139</v>
      </c>
      <c r="M46" s="22">
        <f t="shared" si="2"/>
        <v>0</v>
      </c>
      <c r="N46" s="42">
        <f>ROUND(D46*G46*J46*L46/1000,1)+0.1</f>
        <v>16.200000000000003</v>
      </c>
      <c r="O46" s="22">
        <f t="shared" si="3"/>
        <v>0</v>
      </c>
      <c r="P46" s="22">
        <f t="shared" si="4"/>
        <v>16.200000000000003</v>
      </c>
      <c r="Q46" s="46">
        <v>16.2</v>
      </c>
      <c r="R46" s="155">
        <f t="shared" si="0"/>
        <v>0</v>
      </c>
      <c r="S46" s="40"/>
    </row>
    <row r="47" spans="1:19" ht="15.75">
      <c r="A47" s="6" t="s">
        <v>40</v>
      </c>
      <c r="B47" s="25">
        <v>10</v>
      </c>
      <c r="C47" s="108"/>
      <c r="D47" s="108">
        <v>20</v>
      </c>
      <c r="E47" s="119"/>
      <c r="F47" s="21"/>
      <c r="G47" s="21">
        <v>2323</v>
      </c>
      <c r="H47" s="21"/>
      <c r="I47" s="39"/>
      <c r="J47" s="39">
        <v>1.25</v>
      </c>
      <c r="K47" s="39"/>
      <c r="L47" s="157">
        <v>0.151</v>
      </c>
      <c r="M47" s="22">
        <f t="shared" si="2"/>
        <v>0</v>
      </c>
      <c r="N47" s="42">
        <f t="shared" si="1"/>
        <v>8.8</v>
      </c>
      <c r="O47" s="22">
        <f t="shared" si="3"/>
        <v>0</v>
      </c>
      <c r="P47" s="22">
        <f t="shared" si="4"/>
        <v>8.8</v>
      </c>
      <c r="Q47" s="46">
        <v>8.8</v>
      </c>
      <c r="R47" s="155">
        <f t="shared" si="0"/>
        <v>0</v>
      </c>
      <c r="S47" s="40"/>
    </row>
    <row r="48" spans="1:19" ht="15.75">
      <c r="A48" s="6" t="s">
        <v>41</v>
      </c>
      <c r="B48" s="25">
        <v>9</v>
      </c>
      <c r="C48" s="110"/>
      <c r="D48" s="110">
        <v>8</v>
      </c>
      <c r="E48" s="111"/>
      <c r="F48" s="21"/>
      <c r="G48" s="21">
        <v>2323</v>
      </c>
      <c r="H48" s="21"/>
      <c r="I48" s="39"/>
      <c r="J48" s="39">
        <v>3.12</v>
      </c>
      <c r="K48" s="39"/>
      <c r="L48" s="157">
        <v>0.083</v>
      </c>
      <c r="M48" s="22">
        <f t="shared" si="2"/>
        <v>0</v>
      </c>
      <c r="N48" s="42">
        <f t="shared" si="1"/>
        <v>4.8</v>
      </c>
      <c r="O48" s="22">
        <f t="shared" si="3"/>
        <v>0</v>
      </c>
      <c r="P48" s="22">
        <f t="shared" si="4"/>
        <v>4.8</v>
      </c>
      <c r="Q48" s="46">
        <v>4.8</v>
      </c>
      <c r="R48" s="155">
        <f t="shared" si="0"/>
        <v>0</v>
      </c>
      <c r="S48" s="40"/>
    </row>
    <row r="49" spans="1:19" ht="22.5" customHeight="1">
      <c r="A49" s="6" t="s">
        <v>42</v>
      </c>
      <c r="B49" s="25">
        <v>10</v>
      </c>
      <c r="C49" s="110"/>
      <c r="D49" s="110">
        <v>14</v>
      </c>
      <c r="E49" s="115"/>
      <c r="F49" s="21"/>
      <c r="G49" s="21">
        <v>2323</v>
      </c>
      <c r="H49" s="21"/>
      <c r="I49" s="39"/>
      <c r="J49" s="39">
        <v>1.78</v>
      </c>
      <c r="K49" s="39"/>
      <c r="L49" s="157">
        <v>0.072</v>
      </c>
      <c r="M49" s="22">
        <f t="shared" si="2"/>
        <v>0</v>
      </c>
      <c r="N49" s="42">
        <f t="shared" si="1"/>
        <v>4.2</v>
      </c>
      <c r="O49" s="22">
        <f t="shared" si="3"/>
        <v>0</v>
      </c>
      <c r="P49" s="22">
        <f t="shared" si="4"/>
        <v>4.2</v>
      </c>
      <c r="Q49" s="46">
        <v>4.2</v>
      </c>
      <c r="R49" s="155">
        <f t="shared" si="0"/>
        <v>0</v>
      </c>
      <c r="S49" s="40"/>
    </row>
    <row r="50" spans="1:19" ht="15.75">
      <c r="A50" s="6" t="s">
        <v>23</v>
      </c>
      <c r="B50" s="25">
        <v>9</v>
      </c>
      <c r="C50" s="110"/>
      <c r="D50" s="110">
        <v>21</v>
      </c>
      <c r="E50" s="111"/>
      <c r="F50" s="21"/>
      <c r="G50" s="21">
        <v>2323</v>
      </c>
      <c r="H50" s="21"/>
      <c r="I50" s="39"/>
      <c r="J50" s="39">
        <v>1.19</v>
      </c>
      <c r="K50" s="39"/>
      <c r="L50" s="157">
        <v>0.073</v>
      </c>
      <c r="M50" s="22">
        <f t="shared" si="2"/>
        <v>0</v>
      </c>
      <c r="N50" s="42">
        <f t="shared" si="1"/>
        <v>4.2</v>
      </c>
      <c r="O50" s="22">
        <f t="shared" si="3"/>
        <v>0</v>
      </c>
      <c r="P50" s="22">
        <f t="shared" si="4"/>
        <v>4.2</v>
      </c>
      <c r="Q50" s="46">
        <v>4.2</v>
      </c>
      <c r="R50" s="155">
        <f t="shared" si="0"/>
        <v>0</v>
      </c>
      <c r="S50" s="40"/>
    </row>
    <row r="51" spans="1:19" ht="18" customHeight="1">
      <c r="A51" s="6" t="s">
        <v>43</v>
      </c>
      <c r="B51" s="25">
        <v>10</v>
      </c>
      <c r="C51" s="110"/>
      <c r="D51" s="110">
        <v>21</v>
      </c>
      <c r="E51" s="111"/>
      <c r="F51" s="21"/>
      <c r="G51" s="21">
        <v>2323</v>
      </c>
      <c r="H51" s="21"/>
      <c r="I51" s="39"/>
      <c r="J51" s="39">
        <v>1.19</v>
      </c>
      <c r="K51" s="39"/>
      <c r="L51" s="157">
        <v>0.141</v>
      </c>
      <c r="M51" s="22">
        <f t="shared" si="2"/>
        <v>0</v>
      </c>
      <c r="N51" s="42">
        <f t="shared" si="1"/>
        <v>8.2</v>
      </c>
      <c r="O51" s="22">
        <f t="shared" si="3"/>
        <v>0</v>
      </c>
      <c r="P51" s="22">
        <f t="shared" si="4"/>
        <v>8.2</v>
      </c>
      <c r="Q51" s="46">
        <v>8.2</v>
      </c>
      <c r="R51" s="155">
        <f t="shared" si="0"/>
        <v>0</v>
      </c>
      <c r="S51" s="40"/>
    </row>
    <row r="52" spans="1:19" ht="34.5" customHeight="1">
      <c r="A52" s="7" t="s">
        <v>44</v>
      </c>
      <c r="B52" s="26">
        <v>9</v>
      </c>
      <c r="C52" s="110"/>
      <c r="D52" s="110">
        <v>10</v>
      </c>
      <c r="E52" s="111"/>
      <c r="F52" s="21"/>
      <c r="G52" s="21">
        <v>2323</v>
      </c>
      <c r="H52" s="21"/>
      <c r="I52" s="39"/>
      <c r="J52" s="39">
        <v>2.5</v>
      </c>
      <c r="K52" s="39"/>
      <c r="L52" s="157">
        <v>0.052</v>
      </c>
      <c r="M52" s="22">
        <f t="shared" si="2"/>
        <v>0</v>
      </c>
      <c r="N52" s="42">
        <f t="shared" si="1"/>
        <v>3</v>
      </c>
      <c r="O52" s="22">
        <f t="shared" si="3"/>
        <v>0</v>
      </c>
      <c r="P52" s="22">
        <f t="shared" si="4"/>
        <v>3</v>
      </c>
      <c r="Q52" s="154">
        <v>3</v>
      </c>
      <c r="R52" s="155">
        <f t="shared" si="0"/>
        <v>0</v>
      </c>
      <c r="S52" s="40"/>
    </row>
    <row r="53" spans="1:19" s="8" customFormat="1" ht="31.5">
      <c r="A53" s="7" t="s">
        <v>45</v>
      </c>
      <c r="B53" s="26">
        <v>10</v>
      </c>
      <c r="C53" s="110"/>
      <c r="D53" s="110">
        <v>20</v>
      </c>
      <c r="E53" s="117"/>
      <c r="F53" s="21"/>
      <c r="G53" s="21">
        <v>2323</v>
      </c>
      <c r="H53" s="21"/>
      <c r="I53" s="39"/>
      <c r="J53" s="39">
        <v>1.25</v>
      </c>
      <c r="K53" s="39"/>
      <c r="L53" s="157">
        <v>0.107</v>
      </c>
      <c r="M53" s="22">
        <f t="shared" si="2"/>
        <v>0</v>
      </c>
      <c r="N53" s="42">
        <f t="shared" si="1"/>
        <v>6.2</v>
      </c>
      <c r="O53" s="22">
        <f t="shared" si="3"/>
        <v>0</v>
      </c>
      <c r="P53" s="22">
        <f t="shared" si="4"/>
        <v>6.2</v>
      </c>
      <c r="Q53" s="160">
        <v>6.2</v>
      </c>
      <c r="R53" s="155">
        <f t="shared" si="0"/>
        <v>0</v>
      </c>
      <c r="S53" s="40"/>
    </row>
    <row r="54" spans="1:18" ht="48" thickBot="1">
      <c r="A54" s="36" t="s">
        <v>50</v>
      </c>
      <c r="B54" s="122"/>
      <c r="C54" s="120">
        <v>578</v>
      </c>
      <c r="D54" s="120">
        <v>2862</v>
      </c>
      <c r="E54" s="121">
        <v>335</v>
      </c>
      <c r="F54" s="19"/>
      <c r="G54" s="21"/>
      <c r="H54" s="21"/>
      <c r="I54" s="29"/>
      <c r="J54" s="29"/>
      <c r="K54" s="29"/>
      <c r="L54" s="21"/>
      <c r="M54" s="22">
        <f aca="true" t="shared" si="5" ref="M54:R54">SUM(M6:M53)</f>
        <v>266.79999999999995</v>
      </c>
      <c r="N54" s="22">
        <f t="shared" si="5"/>
        <v>1352.3999999999999</v>
      </c>
      <c r="O54" s="22">
        <f t="shared" si="5"/>
        <v>210.7</v>
      </c>
      <c r="P54" s="22">
        <f t="shared" si="5"/>
        <v>1829.8999999999996</v>
      </c>
      <c r="Q54" s="22">
        <f t="shared" si="5"/>
        <v>1829.8999999999996</v>
      </c>
      <c r="R54" s="22">
        <f t="shared" si="5"/>
        <v>0</v>
      </c>
    </row>
    <row r="55" spans="1:16" ht="18" customHeight="1">
      <c r="A55" s="9"/>
      <c r="B55" s="9"/>
      <c r="C55" s="31"/>
      <c r="D55" s="14"/>
      <c r="I55" s="48"/>
      <c r="J55" s="48"/>
      <c r="K55" s="32"/>
      <c r="P55" s="23"/>
    </row>
    <row r="56" spans="1:12" ht="15.75">
      <c r="A56" s="10" t="s">
        <v>94</v>
      </c>
      <c r="B56" s="10"/>
      <c r="C56" s="11"/>
      <c r="D56" s="11"/>
      <c r="I56" s="33"/>
      <c r="J56" s="33"/>
      <c r="K56" s="33"/>
      <c r="L56" s="33"/>
    </row>
    <row r="57" spans="1:16" ht="15.75">
      <c r="A57" s="10"/>
      <c r="B57" s="10"/>
      <c r="C57" s="11"/>
      <c r="D57" s="11"/>
      <c r="P57" s="23"/>
    </row>
    <row r="58" spans="1:4" ht="15.75">
      <c r="A58" s="10"/>
      <c r="B58" s="10"/>
      <c r="C58" s="11"/>
      <c r="D58" s="11"/>
    </row>
    <row r="59" spans="1:4" ht="15.75">
      <c r="A59" s="10"/>
      <c r="B59" s="10"/>
      <c r="C59" s="11"/>
      <c r="D59" s="11"/>
    </row>
    <row r="60" spans="1:4" ht="15.75">
      <c r="A60" s="15"/>
      <c r="B60" s="15"/>
      <c r="C60" s="11"/>
      <c r="D60" s="11"/>
    </row>
    <row r="61" spans="1:4" ht="15.75">
      <c r="A61" s="15"/>
      <c r="B61" s="15"/>
      <c r="C61" s="11"/>
      <c r="D61" s="11"/>
    </row>
    <row r="62" spans="1:4" ht="16.5" customHeight="1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0"/>
      <c r="B65" s="10"/>
      <c r="C65" s="11"/>
      <c r="D65" s="11"/>
    </row>
    <row r="66" spans="1:4" ht="15.75">
      <c r="A66" s="10"/>
      <c r="B66" s="10"/>
      <c r="C66" s="11"/>
      <c r="D66" s="11"/>
    </row>
    <row r="67" spans="1:4" ht="15.75">
      <c r="A67" s="10"/>
      <c r="B67" s="10"/>
      <c r="C67" s="11"/>
      <c r="D67" s="11"/>
    </row>
    <row r="68" spans="1:4" ht="15.75">
      <c r="A68" s="16"/>
      <c r="B68" s="16"/>
      <c r="C68" s="17"/>
      <c r="D68" s="17"/>
    </row>
    <row r="69" spans="1:4" s="13" customFormat="1" ht="16.5" customHeight="1">
      <c r="A69" s="188"/>
      <c r="B69" s="188"/>
      <c r="C69" s="188"/>
      <c r="D69" s="188"/>
    </row>
    <row r="70" spans="1:4" ht="15.75">
      <c r="A70" s="15"/>
      <c r="B70" s="15"/>
      <c r="C70" s="11"/>
      <c r="D70" s="11"/>
    </row>
    <row r="71" spans="1:4" ht="15.75">
      <c r="A71" s="15"/>
      <c r="B71" s="15"/>
      <c r="C71" s="11"/>
      <c r="D71" s="11"/>
    </row>
    <row r="72" spans="1:4" ht="15.75">
      <c r="A72" s="15"/>
      <c r="B72" s="15"/>
      <c r="C72" s="11"/>
      <c r="D72" s="11"/>
    </row>
    <row r="73" spans="1:4" ht="15.75">
      <c r="A73" s="15"/>
      <c r="B73" s="15"/>
      <c r="C73" s="11"/>
      <c r="D73" s="11"/>
    </row>
    <row r="74" spans="1:4" ht="18" customHeight="1">
      <c r="A74" s="15"/>
      <c r="B74" s="15"/>
      <c r="C74" s="11"/>
      <c r="D74" s="11"/>
    </row>
    <row r="75" spans="1:4" ht="15.75">
      <c r="A75" s="15"/>
      <c r="B75" s="15"/>
      <c r="C75" s="11"/>
      <c r="D75" s="11"/>
    </row>
    <row r="76" spans="1:4" ht="15.75">
      <c r="A76" s="15"/>
      <c r="B76" s="15"/>
      <c r="C76" s="11"/>
      <c r="D76" s="11"/>
    </row>
    <row r="77" spans="1:4" ht="15.75">
      <c r="A77" s="15"/>
      <c r="B77" s="15"/>
      <c r="C77" s="11"/>
      <c r="D77" s="11"/>
    </row>
    <row r="78" spans="1:4" ht="15.75">
      <c r="A78" s="15"/>
      <c r="B78" s="15"/>
      <c r="C78" s="11"/>
      <c r="D78" s="11"/>
    </row>
    <row r="79" spans="1:4" ht="15.75">
      <c r="A79" s="15"/>
      <c r="B79" s="15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0"/>
      <c r="B111" s="10"/>
      <c r="C111" s="11"/>
      <c r="D111" s="11"/>
    </row>
    <row r="112" spans="1:4" ht="15.75">
      <c r="A112" s="10"/>
      <c r="B112" s="10"/>
      <c r="C112" s="11"/>
      <c r="D112" s="11"/>
    </row>
    <row r="113" spans="1:4" ht="15.75">
      <c r="A113" s="10"/>
      <c r="B113" s="10"/>
      <c r="C113" s="11"/>
      <c r="D113" s="11"/>
    </row>
    <row r="114" spans="1:4" ht="15.75">
      <c r="A114" s="18"/>
      <c r="B114" s="18"/>
      <c r="C114" s="17"/>
      <c r="D114" s="17"/>
    </row>
    <row r="115" spans="1:4" ht="15.75">
      <c r="A115" s="18"/>
      <c r="B115" s="18"/>
      <c r="C115" s="2"/>
      <c r="D115" s="2"/>
    </row>
    <row r="116" spans="1:4" ht="15.75">
      <c r="A116" s="12"/>
      <c r="B116" s="12"/>
      <c r="C116" s="11"/>
      <c r="D116" s="11"/>
    </row>
  </sheetData>
  <sheetProtection/>
  <mergeCells count="18">
    <mergeCell ref="Q3:Q5"/>
    <mergeCell ref="R3:R5"/>
    <mergeCell ref="A1:D1"/>
    <mergeCell ref="M2:P2"/>
    <mergeCell ref="B3:B5"/>
    <mergeCell ref="C3:E3"/>
    <mergeCell ref="F3:H3"/>
    <mergeCell ref="I3:K3"/>
    <mergeCell ref="L3:L5"/>
    <mergeCell ref="E2:H2"/>
    <mergeCell ref="A69:D69"/>
    <mergeCell ref="A3:A5"/>
    <mergeCell ref="M3:O3"/>
    <mergeCell ref="P3:P5"/>
    <mergeCell ref="C4:D4"/>
    <mergeCell ref="F4:G4"/>
    <mergeCell ref="I4:J4"/>
    <mergeCell ref="M4:N4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4" max="255" man="1"/>
  </rowBreaks>
  <colBreaks count="1" manualBreakCount="1">
    <brk id="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="70" zoomScaleNormal="7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2.2812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8.28125" style="3" customWidth="1"/>
    <col min="17" max="17" width="17.57421875" style="3" customWidth="1"/>
    <col min="18" max="18" width="13.28125" style="3" customWidth="1"/>
    <col min="19" max="16384" width="9.140625" style="3" customWidth="1"/>
  </cols>
  <sheetData>
    <row r="1" spans="1:16" ht="15.75">
      <c r="A1" s="197"/>
      <c r="B1" s="197"/>
      <c r="C1" s="197"/>
      <c r="D1" s="197"/>
      <c r="F1" s="209" t="s">
        <v>76</v>
      </c>
      <c r="G1" s="209"/>
      <c r="H1" s="209"/>
      <c r="I1" s="209"/>
      <c r="J1" s="20"/>
      <c r="K1" s="20"/>
      <c r="L1" s="20"/>
      <c r="M1" s="20"/>
      <c r="N1" s="20"/>
      <c r="O1" s="20"/>
      <c r="P1" s="20"/>
    </row>
    <row r="2" spans="1:16" ht="15.75" customHeight="1">
      <c r="A2" s="146"/>
      <c r="B2" s="146"/>
      <c r="C2" s="1"/>
      <c r="D2" s="1"/>
      <c r="F2" s="187" t="s">
        <v>95</v>
      </c>
      <c r="G2" s="187"/>
      <c r="H2" s="187"/>
      <c r="I2" s="187"/>
      <c r="J2" s="147"/>
      <c r="K2" s="147"/>
      <c r="L2" s="147"/>
      <c r="M2" s="198"/>
      <c r="N2" s="198"/>
      <c r="O2" s="198"/>
      <c r="P2" s="198"/>
    </row>
    <row r="3" spans="1:18" ht="51.75" customHeight="1">
      <c r="A3" s="213" t="s">
        <v>97</v>
      </c>
      <c r="B3" s="214" t="s">
        <v>49</v>
      </c>
      <c r="C3" s="212" t="s">
        <v>74</v>
      </c>
      <c r="D3" s="212"/>
      <c r="E3" s="212"/>
      <c r="F3" s="202" t="s">
        <v>56</v>
      </c>
      <c r="G3" s="202"/>
      <c r="H3" s="202"/>
      <c r="I3" s="203" t="s">
        <v>57</v>
      </c>
      <c r="J3" s="204"/>
      <c r="K3" s="205"/>
      <c r="L3" s="206" t="s">
        <v>75</v>
      </c>
      <c r="M3" s="192" t="s">
        <v>66</v>
      </c>
      <c r="N3" s="192"/>
      <c r="O3" s="192"/>
      <c r="P3" s="193" t="s">
        <v>77</v>
      </c>
      <c r="Q3" s="189" t="s">
        <v>92</v>
      </c>
      <c r="R3" s="189" t="s">
        <v>93</v>
      </c>
    </row>
    <row r="4" spans="1:18" ht="117.75" customHeight="1">
      <c r="A4" s="213"/>
      <c r="B4" s="215"/>
      <c r="C4" s="210" t="s">
        <v>0</v>
      </c>
      <c r="D4" s="211"/>
      <c r="E4" s="148" t="s">
        <v>96</v>
      </c>
      <c r="F4" s="212" t="s">
        <v>0</v>
      </c>
      <c r="G4" s="212"/>
      <c r="H4" s="171" t="s">
        <v>96</v>
      </c>
      <c r="I4" s="212" t="s">
        <v>0</v>
      </c>
      <c r="J4" s="212"/>
      <c r="K4" s="171" t="s">
        <v>96</v>
      </c>
      <c r="L4" s="207"/>
      <c r="M4" s="212" t="s">
        <v>0</v>
      </c>
      <c r="N4" s="212"/>
      <c r="O4" s="171" t="s">
        <v>96</v>
      </c>
      <c r="P4" s="193"/>
      <c r="Q4" s="190"/>
      <c r="R4" s="190"/>
    </row>
    <row r="5" spans="1:18" ht="177.75" customHeight="1">
      <c r="A5" s="149" t="s">
        <v>52</v>
      </c>
      <c r="B5" s="216"/>
      <c r="C5" s="107" t="s">
        <v>53</v>
      </c>
      <c r="D5" s="107" t="s">
        <v>54</v>
      </c>
      <c r="E5" s="107" t="s">
        <v>55</v>
      </c>
      <c r="F5" s="148" t="s">
        <v>47</v>
      </c>
      <c r="G5" s="148" t="s">
        <v>46</v>
      </c>
      <c r="H5" s="148" t="s">
        <v>48</v>
      </c>
      <c r="I5" s="148" t="s">
        <v>47</v>
      </c>
      <c r="J5" s="148" t="s">
        <v>46</v>
      </c>
      <c r="K5" s="148" t="s">
        <v>48</v>
      </c>
      <c r="L5" s="208"/>
      <c r="M5" s="148" t="s">
        <v>47</v>
      </c>
      <c r="N5" s="148" t="s">
        <v>46</v>
      </c>
      <c r="O5" s="148" t="s">
        <v>48</v>
      </c>
      <c r="P5" s="193"/>
      <c r="Q5" s="191"/>
      <c r="R5" s="191"/>
    </row>
    <row r="6" spans="1:19" s="40" customFormat="1" ht="23.25" customHeight="1">
      <c r="A6" s="37" t="s">
        <v>1</v>
      </c>
      <c r="B6" s="24">
        <v>12</v>
      </c>
      <c r="C6" s="108"/>
      <c r="D6" s="108">
        <v>89</v>
      </c>
      <c r="E6" s="109"/>
      <c r="F6" s="41"/>
      <c r="G6" s="41">
        <v>68845</v>
      </c>
      <c r="H6" s="41"/>
      <c r="I6" s="39"/>
      <c r="J6" s="39">
        <v>1.12</v>
      </c>
      <c r="K6" s="39"/>
      <c r="L6" s="157">
        <v>0.555</v>
      </c>
      <c r="M6" s="42">
        <f>ROUND(C6*F6*I6*L6/1000,1)</f>
        <v>0</v>
      </c>
      <c r="N6" s="42">
        <f>ROUND(D6*G6*J6*L6/1000,1)-2.6</f>
        <v>3806.1</v>
      </c>
      <c r="O6" s="42">
        <f>ROUND(E6*H6*K6*L6/1000,1)</f>
        <v>0</v>
      </c>
      <c r="P6" s="42">
        <f>SUM(M6:O6)</f>
        <v>3806.1</v>
      </c>
      <c r="Q6" s="42">
        <v>3806.1</v>
      </c>
      <c r="R6" s="42">
        <f>Q6-P6</f>
        <v>0</v>
      </c>
      <c r="S6" s="156">
        <f>ROUND(Q6/P6*L6,3)</f>
        <v>0.555</v>
      </c>
    </row>
    <row r="7" spans="1:19" s="40" customFormat="1" ht="20.25" customHeight="1">
      <c r="A7" s="37" t="s">
        <v>89</v>
      </c>
      <c r="B7" s="24">
        <v>12</v>
      </c>
      <c r="C7" s="92">
        <v>108</v>
      </c>
      <c r="D7" s="92">
        <v>70</v>
      </c>
      <c r="E7" s="153">
        <v>30</v>
      </c>
      <c r="F7" s="41">
        <v>86539</v>
      </c>
      <c r="G7" s="41">
        <v>68845</v>
      </c>
      <c r="H7" s="41">
        <v>260287</v>
      </c>
      <c r="I7" s="39">
        <v>1.11</v>
      </c>
      <c r="J7" s="39">
        <v>1.07</v>
      </c>
      <c r="K7" s="39">
        <v>1</v>
      </c>
      <c r="L7" s="157">
        <v>0.59</v>
      </c>
      <c r="M7" s="42">
        <f>ROUND(C7*F7*I7*L7/1000,1)</f>
        <v>6120.8</v>
      </c>
      <c r="N7" s="42">
        <f>ROUND(D7*G7*J7*L7/1000,1)+7</f>
        <v>3049.3</v>
      </c>
      <c r="O7" s="42">
        <f>ROUND(E7*H7*K7*L7/1000,1)</f>
        <v>4607.1</v>
      </c>
      <c r="P7" s="42">
        <f>SUM(M7:O7)</f>
        <v>13777.2</v>
      </c>
      <c r="Q7" s="42">
        <v>13777.2</v>
      </c>
      <c r="R7" s="42">
        <f aca="true" t="shared" si="0" ref="R7:R53">Q7-P7</f>
        <v>0</v>
      </c>
      <c r="S7" s="156">
        <f aca="true" t="shared" si="1" ref="S7:S53">ROUND(Q7/P7*L7,3)</f>
        <v>0.59</v>
      </c>
    </row>
    <row r="8" spans="1:19" s="40" customFormat="1" ht="15.75">
      <c r="A8" s="37" t="s">
        <v>2</v>
      </c>
      <c r="B8" s="24">
        <v>12</v>
      </c>
      <c r="C8" s="110">
        <v>32</v>
      </c>
      <c r="D8" s="110">
        <v>73</v>
      </c>
      <c r="E8" s="111"/>
      <c r="F8" s="41">
        <v>86539</v>
      </c>
      <c r="G8" s="41">
        <v>68845</v>
      </c>
      <c r="H8" s="41"/>
      <c r="I8" s="39">
        <v>1</v>
      </c>
      <c r="J8" s="39">
        <v>1.37</v>
      </c>
      <c r="K8" s="39"/>
      <c r="L8" s="157">
        <v>0.502</v>
      </c>
      <c r="M8" s="42">
        <f>ROUND(C8*F8*I8*L8/1000,1)</f>
        <v>1390.2</v>
      </c>
      <c r="N8" s="42">
        <f>ROUND(D8*G8*J8*L8/1000,1)-3</f>
        <v>3453.4</v>
      </c>
      <c r="O8" s="42">
        <f>ROUND(E8*H8*K8*L8/1000,1)</f>
        <v>0</v>
      </c>
      <c r="P8" s="42">
        <f>SUM(M8:O8)</f>
        <v>4843.6</v>
      </c>
      <c r="Q8" s="42">
        <v>4843.6</v>
      </c>
      <c r="R8" s="42">
        <f t="shared" si="0"/>
        <v>0</v>
      </c>
      <c r="S8" s="156">
        <f t="shared" si="1"/>
        <v>0.502</v>
      </c>
    </row>
    <row r="9" spans="1:19" s="40" customFormat="1" ht="15.75">
      <c r="A9" s="37" t="s">
        <v>90</v>
      </c>
      <c r="B9" s="24">
        <v>12</v>
      </c>
      <c r="C9" s="92">
        <v>83</v>
      </c>
      <c r="D9" s="92">
        <v>37</v>
      </c>
      <c r="E9" s="111"/>
      <c r="F9" s="41">
        <v>86539</v>
      </c>
      <c r="G9" s="41">
        <v>68845</v>
      </c>
      <c r="H9" s="41"/>
      <c r="I9" s="39">
        <v>1</v>
      </c>
      <c r="J9" s="39">
        <v>1.35</v>
      </c>
      <c r="K9" s="39"/>
      <c r="L9" s="157">
        <v>0.64</v>
      </c>
      <c r="M9" s="42">
        <f>ROUND(C9*F9*I9*L9/1000,1)</f>
        <v>4597</v>
      </c>
      <c r="N9" s="42">
        <f>ROUND(D9*G9*J9*L9/1000,1)+2.2</f>
        <v>2203</v>
      </c>
      <c r="O9" s="42">
        <f>ROUND(E9*H9*K9*L9/1000,1)</f>
        <v>0</v>
      </c>
      <c r="P9" s="42">
        <f>SUM(M9:O9)</f>
        <v>6800</v>
      </c>
      <c r="Q9" s="42">
        <v>6800</v>
      </c>
      <c r="R9" s="42">
        <f t="shared" si="0"/>
        <v>0</v>
      </c>
      <c r="S9" s="156">
        <f t="shared" si="1"/>
        <v>0.64</v>
      </c>
    </row>
    <row r="10" spans="1:19" s="40" customFormat="1" ht="15.75">
      <c r="A10" s="37" t="s">
        <v>91</v>
      </c>
      <c r="B10" s="24">
        <v>12</v>
      </c>
      <c r="C10" s="92">
        <v>45</v>
      </c>
      <c r="D10" s="92">
        <v>62</v>
      </c>
      <c r="E10" s="153">
        <v>13</v>
      </c>
      <c r="F10" s="41">
        <v>91535</v>
      </c>
      <c r="G10" s="41">
        <v>73039</v>
      </c>
      <c r="H10" s="41">
        <v>273410</v>
      </c>
      <c r="I10" s="39">
        <v>1.1</v>
      </c>
      <c r="J10" s="39">
        <v>1.2</v>
      </c>
      <c r="K10" s="39">
        <v>1</v>
      </c>
      <c r="L10" s="157">
        <v>0.611</v>
      </c>
      <c r="M10" s="42">
        <f>ROUND(C10*F10*I10*L10/1000,1)</f>
        <v>2768.4</v>
      </c>
      <c r="N10" s="42">
        <f>ROUND(D10*G10*J10*L10/1000,1)+6.4</f>
        <v>3326.6</v>
      </c>
      <c r="O10" s="42">
        <f>ROUND(E10*H10*K10*L10/1000,1)</f>
        <v>2171.7</v>
      </c>
      <c r="P10" s="42">
        <f>SUM(M10:O10)</f>
        <v>8266.7</v>
      </c>
      <c r="Q10" s="42">
        <v>8266.7</v>
      </c>
      <c r="R10" s="42">
        <f t="shared" si="0"/>
        <v>0</v>
      </c>
      <c r="S10" s="156">
        <f t="shared" si="1"/>
        <v>0.611</v>
      </c>
    </row>
    <row r="11" spans="1:19" s="40" customFormat="1" ht="15.75">
      <c r="A11" s="37" t="s">
        <v>3</v>
      </c>
      <c r="B11" s="24">
        <v>12</v>
      </c>
      <c r="C11" s="110">
        <v>40</v>
      </c>
      <c r="D11" s="110">
        <v>95</v>
      </c>
      <c r="E11" s="109"/>
      <c r="F11" s="41">
        <v>86539</v>
      </c>
      <c r="G11" s="41">
        <v>68845</v>
      </c>
      <c r="H11" s="41"/>
      <c r="I11" s="39">
        <v>1</v>
      </c>
      <c r="J11" s="39">
        <v>1.05</v>
      </c>
      <c r="K11" s="39"/>
      <c r="L11" s="157">
        <v>0.578</v>
      </c>
      <c r="M11" s="42">
        <f aca="true" t="shared" si="2" ref="M11:M53">ROUND(C11*F11*I11*L11/1000,1)</f>
        <v>2000.8</v>
      </c>
      <c r="N11" s="42">
        <f>ROUND(D11*G11*J11*L11/1000,1)-3</f>
        <v>3966.3</v>
      </c>
      <c r="O11" s="42">
        <f aca="true" t="shared" si="3" ref="O11:O53">ROUND(E11*H11*K11*L11/1000,1)</f>
        <v>0</v>
      </c>
      <c r="P11" s="42">
        <f aca="true" t="shared" si="4" ref="P11:P53">SUM(M11:O11)</f>
        <v>5967.1</v>
      </c>
      <c r="Q11" s="42">
        <v>5967.1</v>
      </c>
      <c r="R11" s="42">
        <f t="shared" si="0"/>
        <v>0</v>
      </c>
      <c r="S11" s="156">
        <f t="shared" si="1"/>
        <v>0.578</v>
      </c>
    </row>
    <row r="12" spans="1:19" s="40" customFormat="1" ht="15.75">
      <c r="A12" s="37" t="s">
        <v>4</v>
      </c>
      <c r="B12" s="24">
        <v>12</v>
      </c>
      <c r="C12" s="110">
        <v>41</v>
      </c>
      <c r="D12" s="110">
        <v>152</v>
      </c>
      <c r="E12" s="109">
        <v>42</v>
      </c>
      <c r="F12" s="41">
        <v>86539</v>
      </c>
      <c r="G12" s="41">
        <v>68845</v>
      </c>
      <c r="H12" s="41">
        <v>260287</v>
      </c>
      <c r="I12" s="39">
        <v>1</v>
      </c>
      <c r="J12" s="39">
        <v>1</v>
      </c>
      <c r="K12" s="39">
        <v>1</v>
      </c>
      <c r="L12" s="157">
        <v>0.527</v>
      </c>
      <c r="M12" s="42">
        <f t="shared" si="2"/>
        <v>1869.8</v>
      </c>
      <c r="N12" s="42">
        <f>ROUND(D12*G12*J12*L12/1000,1)+0.4</f>
        <v>5515.2</v>
      </c>
      <c r="O12" s="42">
        <f t="shared" si="3"/>
        <v>5761.2</v>
      </c>
      <c r="P12" s="42">
        <f t="shared" si="4"/>
        <v>13146.2</v>
      </c>
      <c r="Q12" s="42">
        <v>13146.2</v>
      </c>
      <c r="R12" s="42">
        <f t="shared" si="0"/>
        <v>0</v>
      </c>
      <c r="S12" s="156">
        <f t="shared" si="1"/>
        <v>0.527</v>
      </c>
    </row>
    <row r="13" spans="1:19" s="40" customFormat="1" ht="15.75">
      <c r="A13" s="37" t="s">
        <v>5</v>
      </c>
      <c r="B13" s="24">
        <v>12</v>
      </c>
      <c r="C13" s="110">
        <v>23</v>
      </c>
      <c r="D13" s="110">
        <v>171</v>
      </c>
      <c r="E13" s="109">
        <v>24</v>
      </c>
      <c r="F13" s="41">
        <v>86539</v>
      </c>
      <c r="G13" s="41">
        <v>68845</v>
      </c>
      <c r="H13" s="41">
        <v>260287</v>
      </c>
      <c r="I13" s="39">
        <v>1</v>
      </c>
      <c r="J13" s="39">
        <v>1.17</v>
      </c>
      <c r="K13" s="39">
        <v>1</v>
      </c>
      <c r="L13" s="157">
        <v>0.587</v>
      </c>
      <c r="M13" s="42">
        <f t="shared" si="2"/>
        <v>1168.4</v>
      </c>
      <c r="N13" s="42">
        <f>ROUND(D13*G13*J13*L13/1000,1)-10.4</f>
        <v>8074.8</v>
      </c>
      <c r="O13" s="42">
        <f t="shared" si="3"/>
        <v>3666.9</v>
      </c>
      <c r="P13" s="42">
        <f t="shared" si="4"/>
        <v>12910.1</v>
      </c>
      <c r="Q13" s="42">
        <v>12910.1</v>
      </c>
      <c r="R13" s="42">
        <f t="shared" si="0"/>
        <v>0</v>
      </c>
      <c r="S13" s="156">
        <f t="shared" si="1"/>
        <v>0.587</v>
      </c>
    </row>
    <row r="14" spans="1:19" s="40" customFormat="1" ht="15.75">
      <c r="A14" s="37" t="s">
        <v>6</v>
      </c>
      <c r="B14" s="24">
        <v>12</v>
      </c>
      <c r="C14" s="110"/>
      <c r="D14" s="110">
        <v>112</v>
      </c>
      <c r="E14" s="111"/>
      <c r="F14" s="41"/>
      <c r="G14" s="41">
        <v>68845</v>
      </c>
      <c r="H14" s="41"/>
      <c r="I14" s="39"/>
      <c r="J14" s="39">
        <v>1.34</v>
      </c>
      <c r="K14" s="39"/>
      <c r="L14" s="157">
        <v>0.566</v>
      </c>
      <c r="M14" s="42">
        <f t="shared" si="2"/>
        <v>0</v>
      </c>
      <c r="N14" s="42">
        <f>ROUND(D14*G14*J14*L14/1000,1)-3.2</f>
        <v>5844.900000000001</v>
      </c>
      <c r="O14" s="42">
        <f t="shared" si="3"/>
        <v>0</v>
      </c>
      <c r="P14" s="42">
        <f t="shared" si="4"/>
        <v>5844.900000000001</v>
      </c>
      <c r="Q14" s="42">
        <v>5844.9</v>
      </c>
      <c r="R14" s="42">
        <f t="shared" si="0"/>
        <v>0</v>
      </c>
      <c r="S14" s="156">
        <f t="shared" si="1"/>
        <v>0.566</v>
      </c>
    </row>
    <row r="15" spans="1:19" s="40" customFormat="1" ht="15.75">
      <c r="A15" s="37" t="s">
        <v>7</v>
      </c>
      <c r="B15" s="24">
        <v>12</v>
      </c>
      <c r="C15" s="110">
        <v>26</v>
      </c>
      <c r="D15" s="110">
        <v>182</v>
      </c>
      <c r="E15" s="109">
        <v>47</v>
      </c>
      <c r="F15" s="41">
        <v>86539</v>
      </c>
      <c r="G15" s="41">
        <v>68845</v>
      </c>
      <c r="H15" s="41">
        <v>260287</v>
      </c>
      <c r="I15" s="39">
        <v>1</v>
      </c>
      <c r="J15" s="39">
        <v>1.1</v>
      </c>
      <c r="K15" s="39">
        <v>1</v>
      </c>
      <c r="L15" s="157">
        <v>0.487</v>
      </c>
      <c r="M15" s="42">
        <f t="shared" si="2"/>
        <v>1095.8</v>
      </c>
      <c r="N15" s="42">
        <f>ROUND(D15*G15*J15*L15/1000,1)-2.9</f>
        <v>6709.3</v>
      </c>
      <c r="O15" s="42">
        <f t="shared" si="3"/>
        <v>5957.7</v>
      </c>
      <c r="P15" s="42">
        <f t="shared" si="4"/>
        <v>13762.8</v>
      </c>
      <c r="Q15" s="42">
        <v>13762.8</v>
      </c>
      <c r="R15" s="42">
        <f t="shared" si="0"/>
        <v>0</v>
      </c>
      <c r="S15" s="156">
        <f t="shared" si="1"/>
        <v>0.487</v>
      </c>
    </row>
    <row r="16" spans="1:19" s="40" customFormat="1" ht="15.75">
      <c r="A16" s="37" t="s">
        <v>8</v>
      </c>
      <c r="B16" s="24">
        <v>12</v>
      </c>
      <c r="C16" s="110">
        <v>40</v>
      </c>
      <c r="D16" s="110">
        <v>185</v>
      </c>
      <c r="E16" s="109">
        <v>45</v>
      </c>
      <c r="F16" s="41">
        <v>86539</v>
      </c>
      <c r="G16" s="41">
        <v>68845</v>
      </c>
      <c r="H16" s="41">
        <v>260287</v>
      </c>
      <c r="I16" s="39">
        <v>1</v>
      </c>
      <c r="J16" s="39">
        <v>1</v>
      </c>
      <c r="K16" s="39">
        <v>1</v>
      </c>
      <c r="L16" s="157">
        <v>0.478</v>
      </c>
      <c r="M16" s="42">
        <f t="shared" si="2"/>
        <v>1654.6</v>
      </c>
      <c r="N16" s="42">
        <f>ROUND(D16*G16*J16*L16/1000,1)+1.8</f>
        <v>6089.8</v>
      </c>
      <c r="O16" s="42">
        <f t="shared" si="3"/>
        <v>5598.8</v>
      </c>
      <c r="P16" s="42">
        <f t="shared" si="4"/>
        <v>13343.2</v>
      </c>
      <c r="Q16" s="42">
        <v>13343.2</v>
      </c>
      <c r="R16" s="42">
        <f t="shared" si="0"/>
        <v>0</v>
      </c>
      <c r="S16" s="156">
        <f t="shared" si="1"/>
        <v>0.478</v>
      </c>
    </row>
    <row r="17" spans="1:19" s="40" customFormat="1" ht="15.75">
      <c r="A17" s="37" t="s">
        <v>9</v>
      </c>
      <c r="B17" s="24">
        <v>12</v>
      </c>
      <c r="C17" s="110">
        <v>21</v>
      </c>
      <c r="D17" s="110">
        <v>155</v>
      </c>
      <c r="E17" s="109">
        <v>30</v>
      </c>
      <c r="F17" s="41">
        <v>86539</v>
      </c>
      <c r="G17" s="41">
        <v>68845</v>
      </c>
      <c r="H17" s="41">
        <v>260287</v>
      </c>
      <c r="I17" s="39">
        <v>1</v>
      </c>
      <c r="J17" s="39">
        <v>1.13</v>
      </c>
      <c r="K17" s="39">
        <v>1</v>
      </c>
      <c r="L17" s="157">
        <v>0.543</v>
      </c>
      <c r="M17" s="42">
        <f t="shared" si="2"/>
        <v>986.8</v>
      </c>
      <c r="N17" s="42">
        <f>ROUND(D17*G17*J17*L17/1000,1)+3.1</f>
        <v>6550.700000000001</v>
      </c>
      <c r="O17" s="42">
        <f t="shared" si="3"/>
        <v>4240.1</v>
      </c>
      <c r="P17" s="42">
        <f t="shared" si="4"/>
        <v>11777.600000000002</v>
      </c>
      <c r="Q17" s="42">
        <v>11777.6</v>
      </c>
      <c r="R17" s="42">
        <f t="shared" si="0"/>
        <v>0</v>
      </c>
      <c r="S17" s="156">
        <f t="shared" si="1"/>
        <v>0.543</v>
      </c>
    </row>
    <row r="18" spans="1:19" s="40" customFormat="1" ht="15.75">
      <c r="A18" s="37" t="s">
        <v>10</v>
      </c>
      <c r="B18" s="24">
        <v>12</v>
      </c>
      <c r="C18" s="110">
        <v>39</v>
      </c>
      <c r="D18" s="110">
        <v>146</v>
      </c>
      <c r="E18" s="109">
        <v>30</v>
      </c>
      <c r="F18" s="41">
        <v>86539</v>
      </c>
      <c r="G18" s="41">
        <v>68845</v>
      </c>
      <c r="H18" s="41">
        <v>260287</v>
      </c>
      <c r="I18" s="39">
        <v>1.02</v>
      </c>
      <c r="J18" s="39">
        <v>1.03</v>
      </c>
      <c r="K18" s="39">
        <v>1</v>
      </c>
      <c r="L18" s="157">
        <v>0.545</v>
      </c>
      <c r="M18" s="42">
        <f t="shared" si="2"/>
        <v>1876.2</v>
      </c>
      <c r="N18" s="42">
        <f>ROUND(D18*G18*J18*L18/1000,1)+0.8</f>
        <v>5643.1</v>
      </c>
      <c r="O18" s="42">
        <f t="shared" si="3"/>
        <v>4255.7</v>
      </c>
      <c r="P18" s="42">
        <f t="shared" si="4"/>
        <v>11775</v>
      </c>
      <c r="Q18" s="42">
        <v>11775</v>
      </c>
      <c r="R18" s="42">
        <f t="shared" si="0"/>
        <v>0</v>
      </c>
      <c r="S18" s="156">
        <f t="shared" si="1"/>
        <v>0.545</v>
      </c>
    </row>
    <row r="19" spans="1:19" s="40" customFormat="1" ht="15.75">
      <c r="A19" s="37" t="s">
        <v>11</v>
      </c>
      <c r="B19" s="24">
        <v>12</v>
      </c>
      <c r="C19" s="112">
        <v>24</v>
      </c>
      <c r="D19" s="112">
        <v>48</v>
      </c>
      <c r="E19" s="113">
        <v>15</v>
      </c>
      <c r="F19" s="41">
        <v>91535</v>
      </c>
      <c r="G19" s="41">
        <v>73039</v>
      </c>
      <c r="H19" s="41">
        <v>273410</v>
      </c>
      <c r="I19" s="39">
        <v>1</v>
      </c>
      <c r="J19" s="39">
        <v>1.04</v>
      </c>
      <c r="K19" s="39">
        <v>1</v>
      </c>
      <c r="L19" s="157">
        <v>0.5</v>
      </c>
      <c r="M19" s="42">
        <f t="shared" si="2"/>
        <v>1098.4</v>
      </c>
      <c r="N19" s="42">
        <f>ROUND(D19*G19*J19*L19/1000,1)-0.9</f>
        <v>1822.1999999999998</v>
      </c>
      <c r="O19" s="42">
        <f t="shared" si="3"/>
        <v>2050.6</v>
      </c>
      <c r="P19" s="42">
        <f t="shared" si="4"/>
        <v>4971.2</v>
      </c>
      <c r="Q19" s="42">
        <v>4971.2</v>
      </c>
      <c r="R19" s="42">
        <f t="shared" si="0"/>
        <v>0</v>
      </c>
      <c r="S19" s="156">
        <f t="shared" si="1"/>
        <v>0.5</v>
      </c>
    </row>
    <row r="20" spans="1:19" s="40" customFormat="1" ht="15.75">
      <c r="A20" s="37" t="s">
        <v>25</v>
      </c>
      <c r="B20" s="38">
        <v>10</v>
      </c>
      <c r="C20" s="110"/>
      <c r="D20" s="110">
        <v>30</v>
      </c>
      <c r="E20" s="111"/>
      <c r="F20" s="41"/>
      <c r="G20" s="41">
        <v>59841</v>
      </c>
      <c r="H20" s="41"/>
      <c r="I20" s="39"/>
      <c r="J20" s="39">
        <v>1</v>
      </c>
      <c r="K20" s="39"/>
      <c r="L20" s="157">
        <v>0.59</v>
      </c>
      <c r="M20" s="42">
        <f t="shared" si="2"/>
        <v>0</v>
      </c>
      <c r="N20" s="42">
        <f>ROUND(D20*G20*J20*L20/1000,1)+0.2</f>
        <v>1059.4</v>
      </c>
      <c r="O20" s="42">
        <f t="shared" si="3"/>
        <v>0</v>
      </c>
      <c r="P20" s="42">
        <f t="shared" si="4"/>
        <v>1059.4</v>
      </c>
      <c r="Q20" s="42">
        <v>1059.4</v>
      </c>
      <c r="R20" s="42">
        <f t="shared" si="0"/>
        <v>0</v>
      </c>
      <c r="S20" s="156">
        <f t="shared" si="1"/>
        <v>0.59</v>
      </c>
    </row>
    <row r="21" spans="1:19" s="40" customFormat="1" ht="15.75">
      <c r="A21" s="37" t="s">
        <v>24</v>
      </c>
      <c r="B21" s="38">
        <v>10</v>
      </c>
      <c r="C21" s="110"/>
      <c r="D21" s="110">
        <v>20</v>
      </c>
      <c r="E21" s="109"/>
      <c r="F21" s="41"/>
      <c r="G21" s="41">
        <v>56702</v>
      </c>
      <c r="H21" s="41"/>
      <c r="I21" s="39"/>
      <c r="J21" s="39">
        <v>1.25</v>
      </c>
      <c r="K21" s="39"/>
      <c r="L21" s="157">
        <v>0.988</v>
      </c>
      <c r="M21" s="42">
        <f t="shared" si="2"/>
        <v>0</v>
      </c>
      <c r="N21" s="42">
        <f>ROUND(D21*G21*J21*L21/1000,1)+0.7</f>
        <v>1401.2</v>
      </c>
      <c r="O21" s="42">
        <f t="shared" si="3"/>
        <v>0</v>
      </c>
      <c r="P21" s="42">
        <f t="shared" si="4"/>
        <v>1401.2</v>
      </c>
      <c r="Q21" s="42">
        <v>1401.2</v>
      </c>
      <c r="R21" s="42">
        <f t="shared" si="0"/>
        <v>0</v>
      </c>
      <c r="S21" s="156">
        <f t="shared" si="1"/>
        <v>0.988</v>
      </c>
    </row>
    <row r="22" spans="1:19" s="40" customFormat="1" ht="15.75">
      <c r="A22" s="37" t="s">
        <v>12</v>
      </c>
      <c r="B22" s="38">
        <v>10</v>
      </c>
      <c r="C22" s="110"/>
      <c r="D22" s="110">
        <v>75</v>
      </c>
      <c r="E22" s="109"/>
      <c r="F22" s="41"/>
      <c r="G22" s="41">
        <v>59841</v>
      </c>
      <c r="H22" s="41"/>
      <c r="I22" s="39"/>
      <c r="J22" s="39">
        <v>1</v>
      </c>
      <c r="K22" s="39"/>
      <c r="L22" s="157">
        <v>0.595</v>
      </c>
      <c r="M22" s="42">
        <f t="shared" si="2"/>
        <v>0</v>
      </c>
      <c r="N22" s="42">
        <f>ROUND(D22*G22*J22*L22/1000,1)+2.1</f>
        <v>2672.5</v>
      </c>
      <c r="O22" s="42">
        <f t="shared" si="3"/>
        <v>0</v>
      </c>
      <c r="P22" s="42">
        <f t="shared" si="4"/>
        <v>2672.5</v>
      </c>
      <c r="Q22" s="42">
        <v>2672.5</v>
      </c>
      <c r="R22" s="42">
        <f t="shared" si="0"/>
        <v>0</v>
      </c>
      <c r="S22" s="156">
        <f t="shared" si="1"/>
        <v>0.595</v>
      </c>
    </row>
    <row r="23" spans="1:19" s="40" customFormat="1" ht="15.75">
      <c r="A23" s="37" t="s">
        <v>13</v>
      </c>
      <c r="B23" s="38">
        <v>10</v>
      </c>
      <c r="C23" s="110"/>
      <c r="D23" s="110">
        <v>41</v>
      </c>
      <c r="E23" s="109"/>
      <c r="F23" s="41"/>
      <c r="G23" s="41">
        <v>59841</v>
      </c>
      <c r="H23" s="41"/>
      <c r="I23" s="39"/>
      <c r="J23" s="39">
        <v>1.22</v>
      </c>
      <c r="K23" s="39"/>
      <c r="L23" s="157">
        <v>0.628</v>
      </c>
      <c r="M23" s="42">
        <f t="shared" si="2"/>
        <v>0</v>
      </c>
      <c r="N23" s="42">
        <f>ROUND(D23*G23*J23*L23/1000,1)-0.1</f>
        <v>1879.7</v>
      </c>
      <c r="O23" s="42">
        <f t="shared" si="3"/>
        <v>0</v>
      </c>
      <c r="P23" s="42">
        <f t="shared" si="4"/>
        <v>1879.7</v>
      </c>
      <c r="Q23" s="42">
        <v>1879.7</v>
      </c>
      <c r="R23" s="42">
        <f t="shared" si="0"/>
        <v>0</v>
      </c>
      <c r="S23" s="156">
        <f t="shared" si="1"/>
        <v>0.628</v>
      </c>
    </row>
    <row r="24" spans="1:19" s="40" customFormat="1" ht="15.75">
      <c r="A24" s="37" t="s">
        <v>14</v>
      </c>
      <c r="B24" s="38">
        <v>10</v>
      </c>
      <c r="C24" s="110"/>
      <c r="D24" s="110">
        <v>40</v>
      </c>
      <c r="E24" s="109"/>
      <c r="F24" s="41"/>
      <c r="G24" s="41">
        <v>59841</v>
      </c>
      <c r="H24" s="41"/>
      <c r="I24" s="39"/>
      <c r="J24" s="39">
        <v>1.25</v>
      </c>
      <c r="K24" s="39"/>
      <c r="L24" s="157">
        <v>0.617</v>
      </c>
      <c r="M24" s="42">
        <f t="shared" si="2"/>
        <v>0</v>
      </c>
      <c r="N24" s="42">
        <f>ROUND(D24*G24*J24*L24/1000,1)-0.9</f>
        <v>1845.1999999999998</v>
      </c>
      <c r="O24" s="42">
        <f t="shared" si="3"/>
        <v>0</v>
      </c>
      <c r="P24" s="42">
        <f t="shared" si="4"/>
        <v>1845.1999999999998</v>
      </c>
      <c r="Q24" s="42">
        <v>1845.2</v>
      </c>
      <c r="R24" s="42">
        <f t="shared" si="0"/>
        <v>0</v>
      </c>
      <c r="S24" s="156">
        <f t="shared" si="1"/>
        <v>0.617</v>
      </c>
    </row>
    <row r="25" spans="1:19" s="40" customFormat="1" ht="16.5" customHeight="1">
      <c r="A25" s="37" t="s">
        <v>15</v>
      </c>
      <c r="B25" s="38">
        <v>10</v>
      </c>
      <c r="C25" s="110"/>
      <c r="D25" s="110">
        <v>57</v>
      </c>
      <c r="E25" s="109"/>
      <c r="F25" s="41"/>
      <c r="G25" s="41">
        <v>59841</v>
      </c>
      <c r="H25" s="41"/>
      <c r="I25" s="39"/>
      <c r="J25" s="39">
        <v>1</v>
      </c>
      <c r="K25" s="39"/>
      <c r="L25" s="157">
        <v>0.605</v>
      </c>
      <c r="M25" s="42">
        <f t="shared" si="2"/>
        <v>0</v>
      </c>
      <c r="N25" s="42">
        <f>ROUND(D25*G25*J25*L25/1000,1)-0.8</f>
        <v>2062.7999999999997</v>
      </c>
      <c r="O25" s="42">
        <f t="shared" si="3"/>
        <v>0</v>
      </c>
      <c r="P25" s="42">
        <f t="shared" si="4"/>
        <v>2062.7999999999997</v>
      </c>
      <c r="Q25" s="42">
        <v>2062.8</v>
      </c>
      <c r="R25" s="42">
        <f t="shared" si="0"/>
        <v>0</v>
      </c>
      <c r="S25" s="156">
        <f t="shared" si="1"/>
        <v>0.605</v>
      </c>
    </row>
    <row r="26" spans="1:19" s="40" customFormat="1" ht="19.5" customHeight="1">
      <c r="A26" s="37" t="s">
        <v>26</v>
      </c>
      <c r="B26" s="38">
        <v>9</v>
      </c>
      <c r="C26" s="110"/>
      <c r="D26" s="110">
        <v>18</v>
      </c>
      <c r="E26" s="114"/>
      <c r="F26" s="41"/>
      <c r="G26" s="41">
        <v>54416</v>
      </c>
      <c r="H26" s="41"/>
      <c r="I26" s="39"/>
      <c r="J26" s="39">
        <v>1.39</v>
      </c>
      <c r="K26" s="39"/>
      <c r="L26" s="157">
        <v>0.705</v>
      </c>
      <c r="M26" s="42">
        <f t="shared" si="2"/>
        <v>0</v>
      </c>
      <c r="N26" s="42">
        <f>ROUND(D26*G26*J26*L26/1000,1)-0.2</f>
        <v>959.5999999999999</v>
      </c>
      <c r="O26" s="42">
        <f t="shared" si="3"/>
        <v>0</v>
      </c>
      <c r="P26" s="42">
        <f t="shared" si="4"/>
        <v>959.5999999999999</v>
      </c>
      <c r="Q26" s="42">
        <v>959.6</v>
      </c>
      <c r="R26" s="42">
        <f t="shared" si="0"/>
        <v>0</v>
      </c>
      <c r="S26" s="156">
        <f t="shared" si="1"/>
        <v>0.705</v>
      </c>
    </row>
    <row r="27" spans="1:19" s="40" customFormat="1" ht="19.5" customHeight="1">
      <c r="A27" s="37" t="s">
        <v>27</v>
      </c>
      <c r="B27" s="38">
        <v>9</v>
      </c>
      <c r="C27" s="110"/>
      <c r="D27" s="110">
        <v>9</v>
      </c>
      <c r="E27" s="109"/>
      <c r="F27" s="41"/>
      <c r="G27" s="41">
        <v>54416</v>
      </c>
      <c r="H27" s="41"/>
      <c r="I27" s="39"/>
      <c r="J27" s="39">
        <v>2.78</v>
      </c>
      <c r="K27" s="39"/>
      <c r="L27" s="157">
        <v>0.69</v>
      </c>
      <c r="M27" s="42">
        <f t="shared" si="2"/>
        <v>0</v>
      </c>
      <c r="N27" s="42">
        <f>ROUND(D27*G27*J27*L27/1000,1)-0.4</f>
        <v>939</v>
      </c>
      <c r="O27" s="42">
        <f t="shared" si="3"/>
        <v>0</v>
      </c>
      <c r="P27" s="42">
        <f t="shared" si="4"/>
        <v>939</v>
      </c>
      <c r="Q27" s="42">
        <v>939</v>
      </c>
      <c r="R27" s="42">
        <f t="shared" si="0"/>
        <v>0</v>
      </c>
      <c r="S27" s="156">
        <f t="shared" si="1"/>
        <v>0.69</v>
      </c>
    </row>
    <row r="28" spans="1:19" s="40" customFormat="1" ht="19.5" customHeight="1">
      <c r="A28" s="37" t="s">
        <v>28</v>
      </c>
      <c r="B28" s="38">
        <v>9</v>
      </c>
      <c r="C28" s="110"/>
      <c r="D28" s="110">
        <v>12</v>
      </c>
      <c r="E28" s="109"/>
      <c r="F28" s="41"/>
      <c r="G28" s="41">
        <v>54416</v>
      </c>
      <c r="H28" s="41"/>
      <c r="I28" s="39"/>
      <c r="J28" s="39">
        <v>2.08</v>
      </c>
      <c r="K28" s="39"/>
      <c r="L28" s="157">
        <v>0.716</v>
      </c>
      <c r="M28" s="42">
        <f t="shared" si="2"/>
        <v>0</v>
      </c>
      <c r="N28" s="42">
        <f>ROUND(D28*G28*J28*L28/1000,1)-0.4</f>
        <v>972.1</v>
      </c>
      <c r="O28" s="42">
        <f t="shared" si="3"/>
        <v>0</v>
      </c>
      <c r="P28" s="42">
        <f t="shared" si="4"/>
        <v>972.1</v>
      </c>
      <c r="Q28" s="42">
        <v>972.1</v>
      </c>
      <c r="R28" s="42">
        <f t="shared" si="0"/>
        <v>0</v>
      </c>
      <c r="S28" s="156">
        <f t="shared" si="1"/>
        <v>0.716</v>
      </c>
    </row>
    <row r="29" spans="1:19" s="40" customFormat="1" ht="19.5" customHeight="1">
      <c r="A29" s="37" t="s">
        <v>29</v>
      </c>
      <c r="B29" s="38">
        <v>10</v>
      </c>
      <c r="C29" s="110"/>
      <c r="D29" s="110">
        <v>32</v>
      </c>
      <c r="E29" s="109"/>
      <c r="F29" s="41"/>
      <c r="G29" s="41">
        <v>59841</v>
      </c>
      <c r="H29" s="41"/>
      <c r="I29" s="39"/>
      <c r="J29" s="39">
        <v>1</v>
      </c>
      <c r="K29" s="39"/>
      <c r="L29" s="157">
        <v>0.55</v>
      </c>
      <c r="M29" s="42">
        <f t="shared" si="2"/>
        <v>0</v>
      </c>
      <c r="N29" s="42">
        <f>ROUND(D29*G29*J29*L29/1000,1)+0.5</f>
        <v>1053.7</v>
      </c>
      <c r="O29" s="42">
        <f t="shared" si="3"/>
        <v>0</v>
      </c>
      <c r="P29" s="42">
        <f t="shared" si="4"/>
        <v>1053.7</v>
      </c>
      <c r="Q29" s="42">
        <v>1053.7</v>
      </c>
      <c r="R29" s="42">
        <f t="shared" si="0"/>
        <v>0</v>
      </c>
      <c r="S29" s="156">
        <f t="shared" si="1"/>
        <v>0.55</v>
      </c>
    </row>
    <row r="30" spans="1:19" s="40" customFormat="1" ht="15.75">
      <c r="A30" s="37" t="s">
        <v>16</v>
      </c>
      <c r="B30" s="24">
        <v>10</v>
      </c>
      <c r="C30" s="108"/>
      <c r="D30" s="108">
        <v>105</v>
      </c>
      <c r="E30" s="109"/>
      <c r="F30" s="41"/>
      <c r="G30" s="41">
        <v>59841</v>
      </c>
      <c r="H30" s="41"/>
      <c r="I30" s="39"/>
      <c r="J30" s="39">
        <v>1</v>
      </c>
      <c r="K30" s="39"/>
      <c r="L30" s="157">
        <v>0.574</v>
      </c>
      <c r="M30" s="42">
        <f t="shared" si="2"/>
        <v>0</v>
      </c>
      <c r="N30" s="42">
        <f>ROUND(D30*G30*J30*L30/1000,1)+2.7</f>
        <v>3609.2999999999997</v>
      </c>
      <c r="O30" s="42">
        <f t="shared" si="3"/>
        <v>0</v>
      </c>
      <c r="P30" s="42">
        <f t="shared" si="4"/>
        <v>3609.2999999999997</v>
      </c>
      <c r="Q30" s="42">
        <v>3609.3</v>
      </c>
      <c r="R30" s="42">
        <f t="shared" si="0"/>
        <v>0</v>
      </c>
      <c r="S30" s="156">
        <f t="shared" si="1"/>
        <v>0.574</v>
      </c>
    </row>
    <row r="31" spans="1:19" s="40" customFormat="1" ht="15.75">
      <c r="A31" s="37" t="s">
        <v>17</v>
      </c>
      <c r="B31" s="38">
        <v>10</v>
      </c>
      <c r="C31" s="110"/>
      <c r="D31" s="110">
        <v>85</v>
      </c>
      <c r="E31" s="109">
        <v>20</v>
      </c>
      <c r="F31" s="41"/>
      <c r="G31" s="41">
        <v>59841</v>
      </c>
      <c r="H31" s="41">
        <v>252863</v>
      </c>
      <c r="I31" s="39"/>
      <c r="J31" s="39">
        <v>1</v>
      </c>
      <c r="K31" s="39">
        <v>1</v>
      </c>
      <c r="L31" s="157">
        <v>0.457</v>
      </c>
      <c r="M31" s="42">
        <f t="shared" si="2"/>
        <v>0</v>
      </c>
      <c r="N31" s="42">
        <f>ROUND(D31*G31*J31*L31/1000,1)-1.5</f>
        <v>2323</v>
      </c>
      <c r="O31" s="42">
        <f t="shared" si="3"/>
        <v>2311.2</v>
      </c>
      <c r="P31" s="42">
        <f t="shared" si="4"/>
        <v>4634.2</v>
      </c>
      <c r="Q31" s="42">
        <v>4634.2</v>
      </c>
      <c r="R31" s="42">
        <f t="shared" si="0"/>
        <v>0</v>
      </c>
      <c r="S31" s="156">
        <f t="shared" si="1"/>
        <v>0.457</v>
      </c>
    </row>
    <row r="32" spans="1:19" s="40" customFormat="1" ht="21" customHeight="1">
      <c r="A32" s="37" t="s">
        <v>18</v>
      </c>
      <c r="B32" s="38">
        <v>10</v>
      </c>
      <c r="C32" s="110">
        <v>22</v>
      </c>
      <c r="D32" s="110">
        <v>56</v>
      </c>
      <c r="E32" s="114">
        <v>41</v>
      </c>
      <c r="F32" s="41">
        <v>72043</v>
      </c>
      <c r="G32" s="41">
        <v>59841</v>
      </c>
      <c r="H32" s="41">
        <v>252863</v>
      </c>
      <c r="I32" s="39">
        <v>1</v>
      </c>
      <c r="J32" s="39">
        <v>1</v>
      </c>
      <c r="K32" s="39">
        <v>1</v>
      </c>
      <c r="L32" s="157">
        <v>0.393</v>
      </c>
      <c r="M32" s="42">
        <f t="shared" si="2"/>
        <v>622.9</v>
      </c>
      <c r="N32" s="42">
        <f>ROUND(D32*G32*J32*L32/1000,1)+4.3</f>
        <v>1321.3</v>
      </c>
      <c r="O32" s="42">
        <f t="shared" si="3"/>
        <v>4074.4</v>
      </c>
      <c r="P32" s="42">
        <f t="shared" si="4"/>
        <v>6018.6</v>
      </c>
      <c r="Q32" s="42">
        <v>6018.6</v>
      </c>
      <c r="R32" s="42">
        <f t="shared" si="0"/>
        <v>0</v>
      </c>
      <c r="S32" s="156">
        <f t="shared" si="1"/>
        <v>0.393</v>
      </c>
    </row>
    <row r="33" spans="1:19" s="40" customFormat="1" ht="15.75">
      <c r="A33" s="37" t="s">
        <v>19</v>
      </c>
      <c r="B33" s="38">
        <v>10</v>
      </c>
      <c r="C33" s="110">
        <v>19</v>
      </c>
      <c r="D33" s="110">
        <v>121</v>
      </c>
      <c r="E33" s="111"/>
      <c r="F33" s="41">
        <v>72043</v>
      </c>
      <c r="G33" s="41">
        <v>59841</v>
      </c>
      <c r="H33" s="41"/>
      <c r="I33" s="39">
        <v>1</v>
      </c>
      <c r="J33" s="39">
        <v>1</v>
      </c>
      <c r="K33" s="39"/>
      <c r="L33" s="157">
        <v>0.486</v>
      </c>
      <c r="M33" s="42">
        <f t="shared" si="2"/>
        <v>665.2</v>
      </c>
      <c r="N33" s="42">
        <f>ROUND(D33*G33*J33*L33/1000,1)-1.3</f>
        <v>3517.7</v>
      </c>
      <c r="O33" s="42">
        <f t="shared" si="3"/>
        <v>0</v>
      </c>
      <c r="P33" s="42">
        <f t="shared" si="4"/>
        <v>4182.9</v>
      </c>
      <c r="Q33" s="42">
        <v>4182.9</v>
      </c>
      <c r="R33" s="42">
        <f t="shared" si="0"/>
        <v>0</v>
      </c>
      <c r="S33" s="156">
        <f t="shared" si="1"/>
        <v>0.486</v>
      </c>
    </row>
    <row r="34" spans="1:19" s="40" customFormat="1" ht="15.75">
      <c r="A34" s="37" t="s">
        <v>20</v>
      </c>
      <c r="B34" s="38">
        <v>10</v>
      </c>
      <c r="C34" s="110">
        <v>20</v>
      </c>
      <c r="D34" s="110">
        <v>108</v>
      </c>
      <c r="E34" s="111"/>
      <c r="F34" s="41">
        <v>72043</v>
      </c>
      <c r="G34" s="41">
        <v>59841</v>
      </c>
      <c r="H34" s="41"/>
      <c r="I34" s="39">
        <v>1</v>
      </c>
      <c r="J34" s="39">
        <v>1</v>
      </c>
      <c r="K34" s="39"/>
      <c r="L34" s="157">
        <v>0.533</v>
      </c>
      <c r="M34" s="42">
        <f t="shared" si="2"/>
        <v>768</v>
      </c>
      <c r="N34" s="42">
        <f>ROUND(D34*G34*J34*L34/1000,1)+1.6</f>
        <v>3446.2999999999997</v>
      </c>
      <c r="O34" s="42">
        <f t="shared" si="3"/>
        <v>0</v>
      </c>
      <c r="P34" s="42">
        <f t="shared" si="4"/>
        <v>4214.299999999999</v>
      </c>
      <c r="Q34" s="42">
        <v>4214.3</v>
      </c>
      <c r="R34" s="42">
        <f t="shared" si="0"/>
        <v>0</v>
      </c>
      <c r="S34" s="156">
        <f t="shared" si="1"/>
        <v>0.533</v>
      </c>
    </row>
    <row r="35" spans="1:19" s="40" customFormat="1" ht="20.25" customHeight="1">
      <c r="A35" s="37" t="s">
        <v>30</v>
      </c>
      <c r="B35" s="38">
        <v>10</v>
      </c>
      <c r="C35" s="110"/>
      <c r="D35" s="110">
        <v>18</v>
      </c>
      <c r="E35" s="111"/>
      <c r="F35" s="41"/>
      <c r="G35" s="41">
        <v>59841</v>
      </c>
      <c r="H35" s="41"/>
      <c r="I35" s="39"/>
      <c r="J35" s="39">
        <v>1.36</v>
      </c>
      <c r="K35" s="39"/>
      <c r="L35" s="157">
        <v>0.679</v>
      </c>
      <c r="M35" s="42">
        <f t="shared" si="2"/>
        <v>0</v>
      </c>
      <c r="N35" s="42">
        <f>ROUND(D35*G35*J35*L35/1000,1)</f>
        <v>994.7</v>
      </c>
      <c r="O35" s="42">
        <f t="shared" si="3"/>
        <v>0</v>
      </c>
      <c r="P35" s="42">
        <f t="shared" si="4"/>
        <v>994.7</v>
      </c>
      <c r="Q35" s="42">
        <v>994.7</v>
      </c>
      <c r="R35" s="42">
        <f t="shared" si="0"/>
        <v>0</v>
      </c>
      <c r="S35" s="156">
        <f t="shared" si="1"/>
        <v>0.679</v>
      </c>
    </row>
    <row r="36" spans="1:19" s="40" customFormat="1" ht="15.75">
      <c r="A36" s="37" t="s">
        <v>31</v>
      </c>
      <c r="B36" s="38">
        <v>10</v>
      </c>
      <c r="C36" s="110"/>
      <c r="D36" s="110">
        <v>20</v>
      </c>
      <c r="E36" s="111"/>
      <c r="F36" s="41"/>
      <c r="G36" s="41">
        <v>59841</v>
      </c>
      <c r="H36" s="41"/>
      <c r="I36" s="39"/>
      <c r="J36" s="39">
        <v>1.25</v>
      </c>
      <c r="K36" s="39"/>
      <c r="L36" s="157">
        <v>0.701</v>
      </c>
      <c r="M36" s="42">
        <f t="shared" si="2"/>
        <v>0</v>
      </c>
      <c r="N36" s="42">
        <f>ROUND(D36*G36*J36*L36/1000,1)-0.2</f>
        <v>1048.5</v>
      </c>
      <c r="O36" s="42">
        <f t="shared" si="3"/>
        <v>0</v>
      </c>
      <c r="P36" s="42">
        <f t="shared" si="4"/>
        <v>1048.5</v>
      </c>
      <c r="Q36" s="42">
        <v>1048.5</v>
      </c>
      <c r="R36" s="42">
        <f t="shared" si="0"/>
        <v>0</v>
      </c>
      <c r="S36" s="156">
        <f t="shared" si="1"/>
        <v>0.701</v>
      </c>
    </row>
    <row r="37" spans="1:19" s="40" customFormat="1" ht="21" customHeight="1">
      <c r="A37" s="37" t="s">
        <v>21</v>
      </c>
      <c r="B37" s="38">
        <v>10</v>
      </c>
      <c r="C37" s="110"/>
      <c r="D37" s="110">
        <v>55</v>
      </c>
      <c r="E37" s="111"/>
      <c r="F37" s="41"/>
      <c r="G37" s="41">
        <v>59841</v>
      </c>
      <c r="H37" s="41"/>
      <c r="I37" s="39"/>
      <c r="J37" s="39">
        <v>1</v>
      </c>
      <c r="K37" s="39"/>
      <c r="L37" s="157">
        <v>0.613</v>
      </c>
      <c r="M37" s="42">
        <f t="shared" si="2"/>
        <v>0</v>
      </c>
      <c r="N37" s="42">
        <f>ROUND(D37*G37*J37*L37/1000,1)+1.3</f>
        <v>2018.8</v>
      </c>
      <c r="O37" s="42">
        <f t="shared" si="3"/>
        <v>0</v>
      </c>
      <c r="P37" s="42">
        <f t="shared" si="4"/>
        <v>2018.8</v>
      </c>
      <c r="Q37" s="42">
        <v>2018.8</v>
      </c>
      <c r="R37" s="42">
        <f t="shared" si="0"/>
        <v>0</v>
      </c>
      <c r="S37" s="156">
        <f t="shared" si="1"/>
        <v>0.613</v>
      </c>
    </row>
    <row r="38" spans="1:19" s="40" customFormat="1" ht="21" customHeight="1">
      <c r="A38" s="37" t="s">
        <v>32</v>
      </c>
      <c r="B38" s="38">
        <v>9</v>
      </c>
      <c r="C38" s="110"/>
      <c r="D38" s="110">
        <v>12</v>
      </c>
      <c r="E38" s="111"/>
      <c r="F38" s="41"/>
      <c r="G38" s="41">
        <v>54416</v>
      </c>
      <c r="H38" s="41"/>
      <c r="I38" s="39"/>
      <c r="J38" s="39">
        <v>2.08</v>
      </c>
      <c r="K38" s="39"/>
      <c r="L38" s="157">
        <v>0.689</v>
      </c>
      <c r="M38" s="42">
        <f t="shared" si="2"/>
        <v>0</v>
      </c>
      <c r="N38" s="42">
        <f>ROUND(D38*G38*J38*L38/1000,1)-0.6</f>
        <v>935.1999999999999</v>
      </c>
      <c r="O38" s="42">
        <f t="shared" si="3"/>
        <v>0</v>
      </c>
      <c r="P38" s="42">
        <f t="shared" si="4"/>
        <v>935.1999999999999</v>
      </c>
      <c r="Q38" s="42">
        <v>935.2</v>
      </c>
      <c r="R38" s="42">
        <f t="shared" si="0"/>
        <v>0</v>
      </c>
      <c r="S38" s="156">
        <f t="shared" si="1"/>
        <v>0.689</v>
      </c>
    </row>
    <row r="39" spans="1:19" s="40" customFormat="1" ht="15.75">
      <c r="A39" s="37" t="s">
        <v>33</v>
      </c>
      <c r="B39" s="38">
        <v>10</v>
      </c>
      <c r="C39" s="110"/>
      <c r="D39" s="110">
        <v>32</v>
      </c>
      <c r="E39" s="111"/>
      <c r="F39" s="41"/>
      <c r="G39" s="41">
        <v>59841</v>
      </c>
      <c r="H39" s="41"/>
      <c r="I39" s="39"/>
      <c r="J39" s="39">
        <v>1.56</v>
      </c>
      <c r="K39" s="39"/>
      <c r="L39" s="157">
        <v>0.601</v>
      </c>
      <c r="M39" s="42">
        <f t="shared" si="2"/>
        <v>0</v>
      </c>
      <c r="N39" s="42">
        <f>ROUND(D39*G39*J39*L39/1000,1)-0.4</f>
        <v>1794.8999999999999</v>
      </c>
      <c r="O39" s="42">
        <f t="shared" si="3"/>
        <v>0</v>
      </c>
      <c r="P39" s="42">
        <f t="shared" si="4"/>
        <v>1794.8999999999999</v>
      </c>
      <c r="Q39" s="42">
        <v>1794.9</v>
      </c>
      <c r="R39" s="42">
        <f t="shared" si="0"/>
        <v>0</v>
      </c>
      <c r="S39" s="156">
        <f t="shared" si="1"/>
        <v>0.601</v>
      </c>
    </row>
    <row r="40" spans="1:19" s="40" customFormat="1" ht="15.75">
      <c r="A40" s="37" t="s">
        <v>34</v>
      </c>
      <c r="B40" s="38">
        <v>10</v>
      </c>
      <c r="C40" s="110"/>
      <c r="D40" s="110">
        <v>27</v>
      </c>
      <c r="E40" s="111"/>
      <c r="F40" s="41"/>
      <c r="G40" s="41">
        <v>59841</v>
      </c>
      <c r="H40" s="41"/>
      <c r="I40" s="39"/>
      <c r="J40" s="39">
        <v>1</v>
      </c>
      <c r="K40" s="39"/>
      <c r="L40" s="157">
        <v>0.692</v>
      </c>
      <c r="M40" s="42">
        <f t="shared" si="2"/>
        <v>0</v>
      </c>
      <c r="N40" s="42">
        <f>ROUND(D40*G40*J40*L40/1000,1)-0.2</f>
        <v>1117.8999999999999</v>
      </c>
      <c r="O40" s="42">
        <f t="shared" si="3"/>
        <v>0</v>
      </c>
      <c r="P40" s="42">
        <f t="shared" si="4"/>
        <v>1117.8999999999999</v>
      </c>
      <c r="Q40" s="42">
        <v>1117.9</v>
      </c>
      <c r="R40" s="42">
        <f t="shared" si="0"/>
        <v>0</v>
      </c>
      <c r="S40" s="156">
        <f t="shared" si="1"/>
        <v>0.692</v>
      </c>
    </row>
    <row r="41" spans="1:19" s="40" customFormat="1" ht="15.75">
      <c r="A41" s="37" t="s">
        <v>35</v>
      </c>
      <c r="B41" s="38">
        <v>10</v>
      </c>
      <c r="C41" s="110"/>
      <c r="D41" s="110">
        <v>33</v>
      </c>
      <c r="E41" s="115"/>
      <c r="F41" s="41"/>
      <c r="G41" s="41">
        <v>59841</v>
      </c>
      <c r="H41" s="41"/>
      <c r="I41" s="39"/>
      <c r="J41" s="39">
        <v>1.52</v>
      </c>
      <c r="K41" s="39"/>
      <c r="L41" s="157">
        <v>0.703</v>
      </c>
      <c r="M41" s="42">
        <f t="shared" si="2"/>
        <v>0</v>
      </c>
      <c r="N41" s="42">
        <f>ROUND(D41*G41*J41*L41/1000,1)-0.2</f>
        <v>2109.9</v>
      </c>
      <c r="O41" s="42">
        <f t="shared" si="3"/>
        <v>0</v>
      </c>
      <c r="P41" s="42">
        <f t="shared" si="4"/>
        <v>2109.9</v>
      </c>
      <c r="Q41" s="42">
        <v>2109.9</v>
      </c>
      <c r="R41" s="42">
        <f t="shared" si="0"/>
        <v>0</v>
      </c>
      <c r="S41" s="156">
        <f t="shared" si="1"/>
        <v>0.703</v>
      </c>
    </row>
    <row r="42" spans="1:19" s="40" customFormat="1" ht="16.5" customHeight="1">
      <c r="A42" s="37" t="s">
        <v>36</v>
      </c>
      <c r="B42" s="38">
        <v>9</v>
      </c>
      <c r="C42" s="110"/>
      <c r="D42" s="110">
        <v>20</v>
      </c>
      <c r="E42" s="109"/>
      <c r="F42" s="41"/>
      <c r="G42" s="41">
        <v>54416</v>
      </c>
      <c r="H42" s="41"/>
      <c r="I42" s="39"/>
      <c r="J42" s="39">
        <v>1.25</v>
      </c>
      <c r="K42" s="39"/>
      <c r="L42" s="157">
        <v>0.694</v>
      </c>
      <c r="M42" s="42">
        <f t="shared" si="2"/>
        <v>0</v>
      </c>
      <c r="N42" s="42">
        <f>ROUND(D42*G42*J42*L42/1000,1)-0.4</f>
        <v>943.7</v>
      </c>
      <c r="O42" s="42">
        <f t="shared" si="3"/>
        <v>0</v>
      </c>
      <c r="P42" s="42">
        <f t="shared" si="4"/>
        <v>943.7</v>
      </c>
      <c r="Q42" s="42">
        <v>943.7</v>
      </c>
      <c r="R42" s="42">
        <f t="shared" si="0"/>
        <v>0</v>
      </c>
      <c r="S42" s="156">
        <f t="shared" si="1"/>
        <v>0.694</v>
      </c>
    </row>
    <row r="43" spans="1:19" s="40" customFormat="1" ht="15" customHeight="1">
      <c r="A43" s="37" t="s">
        <v>37</v>
      </c>
      <c r="B43" s="38">
        <v>10</v>
      </c>
      <c r="C43" s="110"/>
      <c r="D43" s="110">
        <v>34</v>
      </c>
      <c r="E43" s="111"/>
      <c r="F43" s="41"/>
      <c r="G43" s="41">
        <v>59841</v>
      </c>
      <c r="H43" s="41"/>
      <c r="I43" s="39"/>
      <c r="J43" s="39">
        <v>1.47</v>
      </c>
      <c r="K43" s="39"/>
      <c r="L43" s="157">
        <v>0.634</v>
      </c>
      <c r="M43" s="42">
        <f t="shared" si="2"/>
        <v>0</v>
      </c>
      <c r="N43" s="42">
        <f>ROUND(D43*G43*J43*L43/1000,1)-0.2</f>
        <v>1896</v>
      </c>
      <c r="O43" s="42">
        <f t="shared" si="3"/>
        <v>0</v>
      </c>
      <c r="P43" s="42">
        <f t="shared" si="4"/>
        <v>1896</v>
      </c>
      <c r="Q43" s="42">
        <v>1896</v>
      </c>
      <c r="R43" s="42">
        <f t="shared" si="0"/>
        <v>0</v>
      </c>
      <c r="S43" s="156">
        <f t="shared" si="1"/>
        <v>0.634</v>
      </c>
    </row>
    <row r="44" spans="1:19" s="40" customFormat="1" ht="18.75" customHeight="1">
      <c r="A44" s="37" t="s">
        <v>38</v>
      </c>
      <c r="B44" s="38">
        <v>10</v>
      </c>
      <c r="C44" s="110"/>
      <c r="D44" s="110">
        <v>67</v>
      </c>
      <c r="E44" s="111"/>
      <c r="F44" s="41"/>
      <c r="G44" s="41">
        <v>59841</v>
      </c>
      <c r="H44" s="41"/>
      <c r="I44" s="39"/>
      <c r="J44" s="39">
        <v>1.12</v>
      </c>
      <c r="K44" s="39"/>
      <c r="L44" s="157">
        <v>0.621</v>
      </c>
      <c r="M44" s="42">
        <f t="shared" si="2"/>
        <v>0</v>
      </c>
      <c r="N44" s="42">
        <f>ROUND(D44*G44*J44*L44/1000,1)-0.4</f>
        <v>2788.2</v>
      </c>
      <c r="O44" s="42">
        <f t="shared" si="3"/>
        <v>0</v>
      </c>
      <c r="P44" s="42">
        <f t="shared" si="4"/>
        <v>2788.2</v>
      </c>
      <c r="Q44" s="42">
        <v>2788.2</v>
      </c>
      <c r="R44" s="42">
        <f t="shared" si="0"/>
        <v>0</v>
      </c>
      <c r="S44" s="156">
        <f t="shared" si="1"/>
        <v>0.621</v>
      </c>
    </row>
    <row r="45" spans="1:19" s="40" customFormat="1" ht="15.75">
      <c r="A45" s="37" t="s">
        <v>39</v>
      </c>
      <c r="B45" s="38">
        <v>9</v>
      </c>
      <c r="C45" s="116"/>
      <c r="D45" s="116">
        <v>12</v>
      </c>
      <c r="E45" s="117"/>
      <c r="F45" s="41"/>
      <c r="G45" s="41">
        <v>54416</v>
      </c>
      <c r="H45" s="41"/>
      <c r="I45" s="39"/>
      <c r="J45" s="39">
        <v>2.08</v>
      </c>
      <c r="K45" s="39"/>
      <c r="L45" s="157">
        <v>0.693</v>
      </c>
      <c r="M45" s="42">
        <f t="shared" si="2"/>
        <v>0</v>
      </c>
      <c r="N45" s="42">
        <f>ROUND(D45*G45*J45*L45/1000,1)-0.5</f>
        <v>940.7</v>
      </c>
      <c r="O45" s="42">
        <f t="shared" si="3"/>
        <v>0</v>
      </c>
      <c r="P45" s="42">
        <f t="shared" si="4"/>
        <v>940.7</v>
      </c>
      <c r="Q45" s="42">
        <v>940.7</v>
      </c>
      <c r="R45" s="42">
        <f t="shared" si="0"/>
        <v>0</v>
      </c>
      <c r="S45" s="156">
        <f t="shared" si="1"/>
        <v>0.693</v>
      </c>
    </row>
    <row r="46" spans="1:19" s="40" customFormat="1" ht="17.25" customHeight="1">
      <c r="A46" s="37" t="s">
        <v>22</v>
      </c>
      <c r="B46" s="43">
        <v>10</v>
      </c>
      <c r="C46" s="118"/>
      <c r="D46" s="118">
        <v>39</v>
      </c>
      <c r="E46" s="118"/>
      <c r="F46" s="41"/>
      <c r="G46" s="41">
        <v>59841</v>
      </c>
      <c r="H46" s="41"/>
      <c r="I46" s="39"/>
      <c r="J46" s="39">
        <v>1.28</v>
      </c>
      <c r="K46" s="39"/>
      <c r="L46" s="157">
        <v>0.593</v>
      </c>
      <c r="M46" s="42">
        <f t="shared" si="2"/>
        <v>0</v>
      </c>
      <c r="N46" s="42">
        <f>ROUND(D46*G46*J46*L46/1000,1)+0.5</f>
        <v>1771.9</v>
      </c>
      <c r="O46" s="42">
        <f t="shared" si="3"/>
        <v>0</v>
      </c>
      <c r="P46" s="42">
        <f t="shared" si="4"/>
        <v>1771.9</v>
      </c>
      <c r="Q46" s="42">
        <v>1771.9</v>
      </c>
      <c r="R46" s="42">
        <f t="shared" si="0"/>
        <v>0</v>
      </c>
      <c r="S46" s="156">
        <f t="shared" si="1"/>
        <v>0.593</v>
      </c>
    </row>
    <row r="47" spans="1:19" s="40" customFormat="1" ht="15.75">
      <c r="A47" s="37" t="s">
        <v>40</v>
      </c>
      <c r="B47" s="38">
        <v>10</v>
      </c>
      <c r="C47" s="108"/>
      <c r="D47" s="108">
        <v>20</v>
      </c>
      <c r="E47" s="119"/>
      <c r="F47" s="41"/>
      <c r="G47" s="41">
        <v>59841</v>
      </c>
      <c r="H47" s="41"/>
      <c r="I47" s="39"/>
      <c r="J47" s="39">
        <v>1.25</v>
      </c>
      <c r="K47" s="39"/>
      <c r="L47" s="157">
        <v>0.747</v>
      </c>
      <c r="M47" s="42">
        <f t="shared" si="2"/>
        <v>0</v>
      </c>
      <c r="N47" s="42">
        <f>ROUND(D47*G47*J47*L47/1000,1)-0.4</f>
        <v>1117.1</v>
      </c>
      <c r="O47" s="42">
        <f t="shared" si="3"/>
        <v>0</v>
      </c>
      <c r="P47" s="42">
        <f t="shared" si="4"/>
        <v>1117.1</v>
      </c>
      <c r="Q47" s="42">
        <v>1117.1</v>
      </c>
      <c r="R47" s="42">
        <f t="shared" si="0"/>
        <v>0</v>
      </c>
      <c r="S47" s="156">
        <f t="shared" si="1"/>
        <v>0.747</v>
      </c>
    </row>
    <row r="48" spans="1:19" s="40" customFormat="1" ht="15.75">
      <c r="A48" s="37" t="s">
        <v>41</v>
      </c>
      <c r="B48" s="38">
        <v>9</v>
      </c>
      <c r="C48" s="110"/>
      <c r="D48" s="110">
        <v>8</v>
      </c>
      <c r="E48" s="111"/>
      <c r="F48" s="41"/>
      <c r="G48" s="41">
        <v>54416</v>
      </c>
      <c r="H48" s="41"/>
      <c r="I48" s="39"/>
      <c r="J48" s="39">
        <v>3.12</v>
      </c>
      <c r="K48" s="39"/>
      <c r="L48" s="157">
        <v>0.675</v>
      </c>
      <c r="M48" s="42">
        <f t="shared" si="2"/>
        <v>0</v>
      </c>
      <c r="N48" s="42">
        <f>ROUND(D48*G48*J48*L48/1000,1)+0.6</f>
        <v>917.4</v>
      </c>
      <c r="O48" s="42">
        <f t="shared" si="3"/>
        <v>0</v>
      </c>
      <c r="P48" s="42">
        <f t="shared" si="4"/>
        <v>917.4</v>
      </c>
      <c r="Q48" s="42">
        <v>917.4</v>
      </c>
      <c r="R48" s="42">
        <f t="shared" si="0"/>
        <v>0</v>
      </c>
      <c r="S48" s="156">
        <f t="shared" si="1"/>
        <v>0.675</v>
      </c>
    </row>
    <row r="49" spans="1:19" s="40" customFormat="1" ht="22.5" customHeight="1">
      <c r="A49" s="37" t="s">
        <v>42</v>
      </c>
      <c r="B49" s="38">
        <v>10</v>
      </c>
      <c r="C49" s="110"/>
      <c r="D49" s="110">
        <v>14</v>
      </c>
      <c r="E49" s="115"/>
      <c r="F49" s="41"/>
      <c r="G49" s="41">
        <v>59841</v>
      </c>
      <c r="H49" s="41"/>
      <c r="I49" s="39"/>
      <c r="J49" s="39">
        <v>1.78</v>
      </c>
      <c r="K49" s="39"/>
      <c r="L49" s="157">
        <v>0.72</v>
      </c>
      <c r="M49" s="42">
        <f t="shared" si="2"/>
        <v>0</v>
      </c>
      <c r="N49" s="42">
        <f>ROUND(D49*G49*J49*L49/1000,1)-0.6</f>
        <v>1073.1000000000001</v>
      </c>
      <c r="O49" s="42">
        <f t="shared" si="3"/>
        <v>0</v>
      </c>
      <c r="P49" s="42">
        <f t="shared" si="4"/>
        <v>1073.1000000000001</v>
      </c>
      <c r="Q49" s="42">
        <v>1073.1</v>
      </c>
      <c r="R49" s="42">
        <f t="shared" si="0"/>
        <v>0</v>
      </c>
      <c r="S49" s="156">
        <f t="shared" si="1"/>
        <v>0.72</v>
      </c>
    </row>
    <row r="50" spans="1:19" s="40" customFormat="1" ht="15.75">
      <c r="A50" s="37" t="s">
        <v>23</v>
      </c>
      <c r="B50" s="38">
        <v>9</v>
      </c>
      <c r="C50" s="110"/>
      <c r="D50" s="110">
        <v>21</v>
      </c>
      <c r="E50" s="111"/>
      <c r="F50" s="41"/>
      <c r="G50" s="41">
        <v>54416</v>
      </c>
      <c r="H50" s="41"/>
      <c r="I50" s="39"/>
      <c r="J50" s="39">
        <v>1.19</v>
      </c>
      <c r="K50" s="39"/>
      <c r="L50" s="157">
        <v>0.637</v>
      </c>
      <c r="M50" s="42">
        <f t="shared" si="2"/>
        <v>0</v>
      </c>
      <c r="N50" s="42">
        <f>ROUND(D50*G50*J50*L50/1000,1)+0.4</f>
        <v>866.6</v>
      </c>
      <c r="O50" s="42">
        <f t="shared" si="3"/>
        <v>0</v>
      </c>
      <c r="P50" s="42">
        <f t="shared" si="4"/>
        <v>866.6</v>
      </c>
      <c r="Q50" s="42">
        <v>866.6</v>
      </c>
      <c r="R50" s="42">
        <f t="shared" si="0"/>
        <v>0</v>
      </c>
      <c r="S50" s="156">
        <f t="shared" si="1"/>
        <v>0.637</v>
      </c>
    </row>
    <row r="51" spans="1:19" s="40" customFormat="1" ht="18" customHeight="1">
      <c r="A51" s="37" t="s">
        <v>43</v>
      </c>
      <c r="B51" s="38">
        <v>10</v>
      </c>
      <c r="C51" s="110"/>
      <c r="D51" s="110">
        <v>21</v>
      </c>
      <c r="E51" s="111"/>
      <c r="F51" s="41"/>
      <c r="G51" s="41">
        <v>59841</v>
      </c>
      <c r="H51" s="41"/>
      <c r="I51" s="39"/>
      <c r="J51" s="39">
        <v>1.19</v>
      </c>
      <c r="K51" s="39"/>
      <c r="L51" s="157">
        <v>0.755</v>
      </c>
      <c r="M51" s="42">
        <f t="shared" si="2"/>
        <v>0</v>
      </c>
      <c r="N51" s="42">
        <f>ROUND(D51*G51*J51*L51/1000,1)+0.2</f>
        <v>1129.2</v>
      </c>
      <c r="O51" s="42">
        <f t="shared" si="3"/>
        <v>0</v>
      </c>
      <c r="P51" s="42">
        <f t="shared" si="4"/>
        <v>1129.2</v>
      </c>
      <c r="Q51" s="42">
        <v>1129.2</v>
      </c>
      <c r="R51" s="42">
        <f t="shared" si="0"/>
        <v>0</v>
      </c>
      <c r="S51" s="156">
        <f t="shared" si="1"/>
        <v>0.755</v>
      </c>
    </row>
    <row r="52" spans="1:19" s="40" customFormat="1" ht="34.5" customHeight="1">
      <c r="A52" s="37" t="s">
        <v>44</v>
      </c>
      <c r="B52" s="38">
        <v>9</v>
      </c>
      <c r="C52" s="110"/>
      <c r="D52" s="110">
        <v>10</v>
      </c>
      <c r="E52" s="111"/>
      <c r="F52" s="41"/>
      <c r="G52" s="41">
        <v>54416</v>
      </c>
      <c r="H52" s="41"/>
      <c r="I52" s="39"/>
      <c r="J52" s="39">
        <v>2.5</v>
      </c>
      <c r="K52" s="39"/>
      <c r="L52" s="157">
        <v>0.663</v>
      </c>
      <c r="M52" s="42">
        <f t="shared" si="2"/>
        <v>0</v>
      </c>
      <c r="N52" s="42">
        <f>ROUND(D52*G52*J52*L52/1000,1)-0.3</f>
        <v>901.6</v>
      </c>
      <c r="O52" s="42">
        <f t="shared" si="3"/>
        <v>0</v>
      </c>
      <c r="P52" s="42">
        <f t="shared" si="4"/>
        <v>901.6</v>
      </c>
      <c r="Q52" s="42">
        <v>901.6</v>
      </c>
      <c r="R52" s="42">
        <f t="shared" si="0"/>
        <v>0</v>
      </c>
      <c r="S52" s="156">
        <f t="shared" si="1"/>
        <v>0.663</v>
      </c>
    </row>
    <row r="53" spans="1:19" s="40" customFormat="1" ht="31.5">
      <c r="A53" s="37" t="s">
        <v>45</v>
      </c>
      <c r="B53" s="38">
        <v>10</v>
      </c>
      <c r="C53" s="110"/>
      <c r="D53" s="110">
        <v>20</v>
      </c>
      <c r="E53" s="117"/>
      <c r="F53" s="41"/>
      <c r="G53" s="41">
        <v>59841</v>
      </c>
      <c r="H53" s="41"/>
      <c r="I53" s="39"/>
      <c r="J53" s="39">
        <v>1.25</v>
      </c>
      <c r="K53" s="39"/>
      <c r="L53" s="157">
        <v>0.686</v>
      </c>
      <c r="M53" s="42">
        <f t="shared" si="2"/>
        <v>0</v>
      </c>
      <c r="N53" s="42">
        <f>ROUND(D53*G53*J53*L53/1000,1)-0.3</f>
        <v>1026</v>
      </c>
      <c r="O53" s="42">
        <f t="shared" si="3"/>
        <v>0</v>
      </c>
      <c r="P53" s="42">
        <f t="shared" si="4"/>
        <v>1026</v>
      </c>
      <c r="Q53" s="42">
        <v>1026</v>
      </c>
      <c r="R53" s="42">
        <f t="shared" si="0"/>
        <v>0</v>
      </c>
      <c r="S53" s="156">
        <f t="shared" si="1"/>
        <v>0.686</v>
      </c>
    </row>
    <row r="54" spans="1:18" s="40" customFormat="1" ht="47.25">
      <c r="A54" s="173" t="s">
        <v>50</v>
      </c>
      <c r="B54" s="174"/>
      <c r="C54" s="44">
        <f>SUM(C6:C53)</f>
        <v>583</v>
      </c>
      <c r="D54" s="44">
        <f>SUM(D6:D53)</f>
        <v>2869</v>
      </c>
      <c r="E54" s="44">
        <f>SUM(E6:E53)</f>
        <v>337</v>
      </c>
      <c r="F54" s="44"/>
      <c r="G54" s="41"/>
      <c r="H54" s="41"/>
      <c r="I54" s="41"/>
      <c r="J54" s="41"/>
      <c r="K54" s="41"/>
      <c r="L54" s="41"/>
      <c r="M54" s="42">
        <f aca="true" t="shared" si="5" ref="M54:R54">SUM(M6:M53)</f>
        <v>28683.300000000003</v>
      </c>
      <c r="N54" s="42">
        <f t="shared" si="5"/>
        <v>120508.9</v>
      </c>
      <c r="O54" s="42">
        <f t="shared" si="5"/>
        <v>44695.399999999994</v>
      </c>
      <c r="P54" s="42">
        <f t="shared" si="5"/>
        <v>193887.6000000001</v>
      </c>
      <c r="Q54" s="42">
        <f t="shared" si="5"/>
        <v>193887.6000000001</v>
      </c>
      <c r="R54" s="42">
        <f t="shared" si="5"/>
        <v>0</v>
      </c>
    </row>
    <row r="55" spans="1:16" ht="18" customHeight="1">
      <c r="A55" s="172"/>
      <c r="B55" s="17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P55" s="23"/>
    </row>
    <row r="56" spans="1:13" ht="15.75">
      <c r="A56" s="10"/>
      <c r="B56" s="10"/>
      <c r="C56" s="34"/>
      <c r="D56" s="34"/>
      <c r="E56" s="34"/>
      <c r="F56" s="35"/>
      <c r="G56" s="34"/>
      <c r="H56" s="34"/>
      <c r="I56" s="34"/>
      <c r="J56" s="34"/>
      <c r="K56" s="34"/>
      <c r="L56" s="34"/>
      <c r="M56" s="34"/>
    </row>
    <row r="57" spans="1:16" ht="15.75">
      <c r="A57" s="10"/>
      <c r="B57" s="10"/>
      <c r="C57" s="11">
        <f>SUM(C54:E54)</f>
        <v>3789</v>
      </c>
      <c r="D57" s="11">
        <f>SUM(D54:E54)</f>
        <v>3206</v>
      </c>
      <c r="P57" s="23"/>
    </row>
    <row r="58" spans="1:4" ht="15.75">
      <c r="A58" s="10"/>
      <c r="B58" s="10"/>
      <c r="C58" s="11"/>
      <c r="D58" s="11"/>
    </row>
    <row r="59" spans="1:4" ht="15.75">
      <c r="A59" s="10"/>
      <c r="B59" s="10"/>
      <c r="C59" s="11"/>
      <c r="D59" s="11"/>
    </row>
    <row r="60" spans="1:4" ht="15.75">
      <c r="A60" s="15"/>
      <c r="B60" s="15"/>
      <c r="C60" s="11"/>
      <c r="D60" s="11"/>
    </row>
    <row r="61" spans="1:4" ht="15.75">
      <c r="A61" s="15"/>
      <c r="B61" s="15"/>
      <c r="C61" s="11"/>
      <c r="D61" s="11"/>
    </row>
    <row r="62" spans="1:4" ht="16.5" customHeight="1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0"/>
      <c r="B65" s="10"/>
      <c r="C65" s="11"/>
      <c r="D65" s="11"/>
    </row>
    <row r="66" spans="1:4" ht="15.75">
      <c r="A66" s="10"/>
      <c r="B66" s="10"/>
      <c r="C66" s="11"/>
      <c r="D66" s="11"/>
    </row>
    <row r="67" spans="1:4" ht="15.75">
      <c r="A67" s="10"/>
      <c r="B67" s="10"/>
      <c r="C67" s="11"/>
      <c r="D67" s="11"/>
    </row>
    <row r="68" spans="1:4" ht="15.75">
      <c r="A68" s="16"/>
      <c r="B68" s="16"/>
      <c r="C68" s="17"/>
      <c r="D68" s="17"/>
    </row>
    <row r="69" spans="1:4" s="13" customFormat="1" ht="16.5" customHeight="1">
      <c r="A69" s="188"/>
      <c r="B69" s="188"/>
      <c r="C69" s="188"/>
      <c r="D69" s="188"/>
    </row>
    <row r="70" spans="1:4" ht="15.75">
      <c r="A70" s="15"/>
      <c r="B70" s="15"/>
      <c r="C70" s="11"/>
      <c r="D70" s="11"/>
    </row>
    <row r="71" spans="1:4" ht="15.75">
      <c r="A71" s="15"/>
      <c r="B71" s="15"/>
      <c r="C71" s="11"/>
      <c r="D71" s="11"/>
    </row>
    <row r="72" spans="1:4" ht="15.75">
      <c r="A72" s="15"/>
      <c r="B72" s="15"/>
      <c r="C72" s="11"/>
      <c r="D72" s="11"/>
    </row>
    <row r="73" spans="1:4" ht="15.75">
      <c r="A73" s="15"/>
      <c r="B73" s="15"/>
      <c r="C73" s="11"/>
      <c r="D73" s="11"/>
    </row>
    <row r="74" spans="1:4" ht="18" customHeight="1">
      <c r="A74" s="15"/>
      <c r="B74" s="15"/>
      <c r="C74" s="11"/>
      <c r="D74" s="11"/>
    </row>
    <row r="75" spans="1:4" ht="15.75">
      <c r="A75" s="15"/>
      <c r="B75" s="15"/>
      <c r="C75" s="11"/>
      <c r="D75" s="11"/>
    </row>
    <row r="76" spans="1:4" ht="15.75">
      <c r="A76" s="15"/>
      <c r="B76" s="15"/>
      <c r="C76" s="11"/>
      <c r="D76" s="11"/>
    </row>
    <row r="77" spans="1:4" ht="15.75">
      <c r="A77" s="15"/>
      <c r="B77" s="15"/>
      <c r="C77" s="11"/>
      <c r="D77" s="11"/>
    </row>
    <row r="78" spans="1:4" ht="15.75">
      <c r="A78" s="15"/>
      <c r="B78" s="15"/>
      <c r="C78" s="11"/>
      <c r="D78" s="11"/>
    </row>
    <row r="79" spans="1:4" ht="15.75">
      <c r="A79" s="15"/>
      <c r="B79" s="15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0"/>
      <c r="B111" s="10"/>
      <c r="C111" s="11"/>
      <c r="D111" s="11"/>
    </row>
    <row r="112" spans="1:4" ht="15.75">
      <c r="A112" s="10"/>
      <c r="B112" s="10"/>
      <c r="C112" s="11"/>
      <c r="D112" s="11"/>
    </row>
    <row r="113" spans="1:4" ht="15.75">
      <c r="A113" s="10"/>
      <c r="B113" s="10"/>
      <c r="C113" s="11"/>
      <c r="D113" s="11"/>
    </row>
    <row r="114" spans="1:4" ht="15.75">
      <c r="A114" s="18"/>
      <c r="B114" s="18"/>
      <c r="C114" s="17"/>
      <c r="D114" s="17"/>
    </row>
    <row r="115" spans="1:4" ht="15.75">
      <c r="A115" s="18"/>
      <c r="B115" s="18"/>
      <c r="C115" s="2"/>
      <c r="D115" s="2"/>
    </row>
    <row r="116" spans="1:4" ht="15.75">
      <c r="A116" s="12"/>
      <c r="B116" s="12"/>
      <c r="C116" s="11"/>
      <c r="D116" s="11"/>
    </row>
  </sheetData>
  <sheetProtection/>
  <mergeCells count="19">
    <mergeCell ref="Q3:Q5"/>
    <mergeCell ref="R3:R5"/>
    <mergeCell ref="A69:D69"/>
    <mergeCell ref="A1:D1"/>
    <mergeCell ref="M2:P2"/>
    <mergeCell ref="A3:A4"/>
    <mergeCell ref="B3:B5"/>
    <mergeCell ref="C3:E3"/>
    <mergeCell ref="F3:H3"/>
    <mergeCell ref="I3:K3"/>
    <mergeCell ref="L3:L5"/>
    <mergeCell ref="F1:I1"/>
    <mergeCell ref="P3:P5"/>
    <mergeCell ref="C4:D4"/>
    <mergeCell ref="F4:G4"/>
    <mergeCell ref="I4:J4"/>
    <mergeCell ref="M4:N4"/>
    <mergeCell ref="M3:O3"/>
    <mergeCell ref="F2:I2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="70" zoomScaleNormal="71" zoomScaleSheetLayoutView="7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:D5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5.8515625" style="3" customWidth="1"/>
    <col min="4" max="6" width="15.140625" style="3" customWidth="1"/>
    <col min="7" max="7" width="19.7109375" style="3" customWidth="1"/>
    <col min="8" max="8" width="20.00390625" style="3" hidden="1" customWidth="1"/>
    <col min="9" max="9" width="15.421875" style="3" hidden="1" customWidth="1"/>
    <col min="10" max="10" width="17.7109375" style="3" hidden="1" customWidth="1"/>
    <col min="11" max="11" width="14.7109375" style="3" hidden="1" customWidth="1"/>
    <col min="12" max="12" width="17.140625" style="3" customWidth="1"/>
    <col min="13" max="13" width="15.28125" style="3" customWidth="1"/>
    <col min="14" max="14" width="16.140625" style="3" customWidth="1"/>
    <col min="15" max="15" width="17.00390625" style="3" customWidth="1"/>
    <col min="16" max="16" width="15.7109375" style="3" customWidth="1"/>
    <col min="17" max="17" width="19.140625" style="3" customWidth="1"/>
    <col min="18" max="18" width="19.8515625" style="3" customWidth="1"/>
    <col min="19" max="19" width="19.00390625" style="3" customWidth="1"/>
    <col min="20" max="20" width="31.00390625" style="3" customWidth="1"/>
    <col min="21" max="16384" width="9.140625" style="3" customWidth="1"/>
  </cols>
  <sheetData>
    <row r="1" spans="1:2" ht="15.75">
      <c r="A1" s="197"/>
      <c r="B1" s="197"/>
    </row>
    <row r="2" spans="1:7" ht="15.75">
      <c r="A2" s="103"/>
      <c r="B2" s="103"/>
      <c r="G2" s="158" t="s">
        <v>86</v>
      </c>
    </row>
    <row r="3" spans="1:9" ht="15.75" customHeight="1">
      <c r="A3" s="103"/>
      <c r="B3" s="103"/>
      <c r="D3" s="187" t="s">
        <v>95</v>
      </c>
      <c r="E3" s="187"/>
      <c r="F3" s="187"/>
      <c r="G3" s="187"/>
      <c r="H3" s="187"/>
      <c r="I3" s="187"/>
    </row>
    <row r="4" spans="1:20" ht="94.5" customHeight="1">
      <c r="A4" s="213" t="s">
        <v>97</v>
      </c>
      <c r="B4" s="214" t="s">
        <v>49</v>
      </c>
      <c r="C4" s="223" t="s">
        <v>66</v>
      </c>
      <c r="D4" s="223" t="s">
        <v>80</v>
      </c>
      <c r="E4" s="223" t="s">
        <v>87</v>
      </c>
      <c r="F4" s="223" t="s">
        <v>88</v>
      </c>
      <c r="G4" s="189" t="s">
        <v>85</v>
      </c>
      <c r="H4" s="219" t="s">
        <v>61</v>
      </c>
      <c r="I4" s="58" t="s">
        <v>62</v>
      </c>
      <c r="J4" s="221" t="s">
        <v>63</v>
      </c>
      <c r="K4" s="222"/>
      <c r="L4" s="217"/>
      <c r="M4" s="217"/>
      <c r="N4" s="217"/>
      <c r="O4" s="217"/>
      <c r="P4" s="217"/>
      <c r="Q4" s="217"/>
      <c r="R4" s="217"/>
      <c r="S4" s="218"/>
      <c r="T4" s="20"/>
    </row>
    <row r="5" spans="1:20" ht="117.75" customHeight="1">
      <c r="A5" s="213"/>
      <c r="B5" s="215"/>
      <c r="C5" s="224"/>
      <c r="D5" s="224"/>
      <c r="E5" s="224"/>
      <c r="F5" s="224"/>
      <c r="G5" s="191"/>
      <c r="H5" s="220"/>
      <c r="I5" s="105" t="s">
        <v>60</v>
      </c>
      <c r="J5" s="56" t="s">
        <v>64</v>
      </c>
      <c r="K5" s="57" t="s">
        <v>65</v>
      </c>
      <c r="L5" s="217"/>
      <c r="M5" s="217"/>
      <c r="N5" s="217"/>
      <c r="O5" s="217"/>
      <c r="P5" s="217"/>
      <c r="Q5" s="217"/>
      <c r="R5" s="217"/>
      <c r="S5" s="218"/>
      <c r="T5" s="20"/>
    </row>
    <row r="6" spans="1:20" ht="23.25" customHeight="1">
      <c r="A6" s="6" t="s">
        <v>1</v>
      </c>
      <c r="B6" s="24">
        <v>12</v>
      </c>
      <c r="C6" s="22">
        <f>'Для корректировки'!P6</f>
        <v>3806.1</v>
      </c>
      <c r="D6" s="45">
        <f>'МЗ-корректировка'!P6</f>
        <v>42.800000000000004</v>
      </c>
      <c r="E6" s="45">
        <f>'Общехоз.'!N8</f>
        <v>1250.2</v>
      </c>
      <c r="F6" s="126">
        <v>38.4</v>
      </c>
      <c r="G6" s="22">
        <f>C6+D6+E6+F6</f>
        <v>5137.5</v>
      </c>
      <c r="H6" s="22">
        <v>4046.8</v>
      </c>
      <c r="I6" s="46">
        <f aca="true" t="shared" si="0" ref="I6:I53">C6-H6</f>
        <v>-240.70000000000027</v>
      </c>
      <c r="J6" s="22">
        <f aca="true" t="shared" si="1" ref="J6:J53">ROUND(C6/1.302,1)</f>
        <v>2923.3</v>
      </c>
      <c r="K6" s="49">
        <f aca="true" t="shared" si="2" ref="K6:K53">C6-J6</f>
        <v>882.7999999999997</v>
      </c>
      <c r="L6" s="47"/>
      <c r="M6" s="47"/>
      <c r="N6" s="47"/>
      <c r="O6" s="47"/>
      <c r="P6" s="50"/>
      <c r="Q6" s="47"/>
      <c r="R6" s="47"/>
      <c r="S6" s="20"/>
      <c r="T6" s="20"/>
    </row>
    <row r="7" spans="1:20" ht="23.25" customHeight="1">
      <c r="A7" s="6" t="s">
        <v>89</v>
      </c>
      <c r="B7" s="24">
        <v>12</v>
      </c>
      <c r="C7" s="22">
        <f>'Для корректировки'!P7</f>
        <v>13777.2</v>
      </c>
      <c r="D7" s="45">
        <f>'МЗ-корректировка'!P7</f>
        <v>129.20000000000002</v>
      </c>
      <c r="E7" s="45">
        <f>'Общехоз.'!N9</f>
        <v>3885.1000000000004</v>
      </c>
      <c r="F7" s="126">
        <v>1298.3</v>
      </c>
      <c r="G7" s="22">
        <f>C7+D7+E7+F7</f>
        <v>19089.8</v>
      </c>
      <c r="H7" s="22"/>
      <c r="I7" s="46"/>
      <c r="J7" s="22"/>
      <c r="K7" s="49"/>
      <c r="L7" s="47"/>
      <c r="M7" s="47"/>
      <c r="N7" s="47"/>
      <c r="O7" s="47"/>
      <c r="P7" s="50"/>
      <c r="Q7" s="47"/>
      <c r="R7" s="47"/>
      <c r="S7" s="20"/>
      <c r="T7" s="20"/>
    </row>
    <row r="8" spans="1:20" ht="15.75">
      <c r="A8" s="6" t="s">
        <v>2</v>
      </c>
      <c r="B8" s="24">
        <v>12</v>
      </c>
      <c r="C8" s="22">
        <f>'Для корректировки'!P8</f>
        <v>4843.6</v>
      </c>
      <c r="D8" s="45">
        <f>'МЗ-корректировка'!P8</f>
        <v>64</v>
      </c>
      <c r="E8" s="45">
        <f>'Общехоз.'!N10</f>
        <v>1248.8000000000002</v>
      </c>
      <c r="F8" s="126">
        <v>46.7</v>
      </c>
      <c r="G8" s="22">
        <f aca="true" t="shared" si="3" ref="G8:G53">C8+D8+E8+F8</f>
        <v>6203.1</v>
      </c>
      <c r="H8" s="22">
        <v>5289.5</v>
      </c>
      <c r="I8" s="46">
        <f t="shared" si="0"/>
        <v>-445.89999999999964</v>
      </c>
      <c r="J8" s="22">
        <f t="shared" si="1"/>
        <v>3720.1</v>
      </c>
      <c r="K8" s="49">
        <f t="shared" si="2"/>
        <v>1123.5000000000005</v>
      </c>
      <c r="L8" s="47"/>
      <c r="M8" s="47"/>
      <c r="N8" s="47"/>
      <c r="O8" s="47"/>
      <c r="P8" s="50"/>
      <c r="Q8" s="47"/>
      <c r="R8" s="47"/>
      <c r="S8" s="20"/>
      <c r="T8" s="20"/>
    </row>
    <row r="9" spans="1:20" ht="15.75">
      <c r="A9" s="6" t="s">
        <v>90</v>
      </c>
      <c r="B9" s="24">
        <v>12</v>
      </c>
      <c r="C9" s="22">
        <f>'Для корректировки'!P9</f>
        <v>6800</v>
      </c>
      <c r="D9" s="45">
        <f>'МЗ-корректировка'!P9</f>
        <v>61.2</v>
      </c>
      <c r="E9" s="45">
        <f>'Общехоз.'!N11</f>
        <v>3567.5</v>
      </c>
      <c r="F9" s="126">
        <v>1067.8</v>
      </c>
      <c r="G9" s="22">
        <f t="shared" si="3"/>
        <v>11496.5</v>
      </c>
      <c r="H9" s="22"/>
      <c r="I9" s="46"/>
      <c r="J9" s="22"/>
      <c r="K9" s="49"/>
      <c r="L9" s="47"/>
      <c r="M9" s="47"/>
      <c r="N9" s="47"/>
      <c r="O9" s="47"/>
      <c r="P9" s="50"/>
      <c r="Q9" s="47"/>
      <c r="R9" s="47"/>
      <c r="S9" s="20"/>
      <c r="T9" s="20"/>
    </row>
    <row r="10" spans="1:20" ht="15.75">
      <c r="A10" s="6" t="s">
        <v>91</v>
      </c>
      <c r="B10" s="24">
        <v>12</v>
      </c>
      <c r="C10" s="22">
        <f>'Для корректировки'!P10</f>
        <v>8266.7</v>
      </c>
      <c r="D10" s="45">
        <f>'МЗ-корректировка'!P10</f>
        <v>48.199999999999996</v>
      </c>
      <c r="E10" s="45">
        <f>'Общехоз.'!N12</f>
        <v>2067.7999999999997</v>
      </c>
      <c r="F10" s="126">
        <v>784.7</v>
      </c>
      <c r="G10" s="22">
        <f t="shared" si="3"/>
        <v>11167.400000000001</v>
      </c>
      <c r="H10" s="22"/>
      <c r="I10" s="46"/>
      <c r="J10" s="22"/>
      <c r="K10" s="49"/>
      <c r="L10" s="47"/>
      <c r="M10" s="47"/>
      <c r="N10" s="47"/>
      <c r="O10" s="47"/>
      <c r="P10" s="50"/>
      <c r="Q10" s="47"/>
      <c r="R10" s="47"/>
      <c r="S10" s="20"/>
      <c r="T10" s="20"/>
    </row>
    <row r="11" spans="1:20" ht="15.75">
      <c r="A11" s="6" t="s">
        <v>3</v>
      </c>
      <c r="B11" s="24">
        <v>12</v>
      </c>
      <c r="C11" s="22">
        <f>'Для корректировки'!P11</f>
        <v>5967.1</v>
      </c>
      <c r="D11" s="45">
        <f>'МЗ-корректировка'!P11</f>
        <v>62.599999999999994</v>
      </c>
      <c r="E11" s="45">
        <f>'Общехоз.'!N13</f>
        <v>1426.1999999999998</v>
      </c>
      <c r="F11" s="126">
        <v>63.6</v>
      </c>
      <c r="G11" s="22">
        <f t="shared" si="3"/>
        <v>7519.500000000001</v>
      </c>
      <c r="H11" s="22">
        <v>6423.5</v>
      </c>
      <c r="I11" s="46">
        <f t="shared" si="0"/>
        <v>-456.39999999999964</v>
      </c>
      <c r="J11" s="22">
        <f t="shared" si="1"/>
        <v>4583</v>
      </c>
      <c r="K11" s="49">
        <f t="shared" si="2"/>
        <v>1384.1000000000004</v>
      </c>
      <c r="L11" s="47"/>
      <c r="M11" s="47"/>
      <c r="N11" s="47"/>
      <c r="O11" s="47"/>
      <c r="P11" s="50"/>
      <c r="Q11" s="47"/>
      <c r="R11" s="47"/>
      <c r="S11" s="20"/>
      <c r="T11" s="20"/>
    </row>
    <row r="12" spans="1:20" ht="15.75">
      <c r="A12" s="6" t="s">
        <v>4</v>
      </c>
      <c r="B12" s="24">
        <v>12</v>
      </c>
      <c r="C12" s="22">
        <f>'Для корректировки'!P12</f>
        <v>13146.2</v>
      </c>
      <c r="D12" s="45">
        <f>'МЗ-корректировка'!P12</f>
        <v>128.5</v>
      </c>
      <c r="E12" s="45">
        <f>'Общехоз.'!N14</f>
        <v>2470.2000000000003</v>
      </c>
      <c r="F12" s="126">
        <v>129.1</v>
      </c>
      <c r="G12" s="22">
        <f t="shared" si="3"/>
        <v>15874.000000000002</v>
      </c>
      <c r="H12" s="22">
        <v>13570.3</v>
      </c>
      <c r="I12" s="46">
        <f t="shared" si="0"/>
        <v>-424.09999999999854</v>
      </c>
      <c r="J12" s="22">
        <f t="shared" si="1"/>
        <v>10096.9</v>
      </c>
      <c r="K12" s="49">
        <f t="shared" si="2"/>
        <v>3049.300000000001</v>
      </c>
      <c r="L12" s="47"/>
      <c r="M12" s="47"/>
      <c r="N12" s="47"/>
      <c r="O12" s="47"/>
      <c r="P12" s="50"/>
      <c r="Q12" s="47"/>
      <c r="R12" s="47"/>
      <c r="S12" s="20"/>
      <c r="T12" s="20"/>
    </row>
    <row r="13" spans="1:20" ht="15.75">
      <c r="A13" s="6" t="s">
        <v>5</v>
      </c>
      <c r="B13" s="24">
        <v>12</v>
      </c>
      <c r="C13" s="22">
        <f>'Для корректировки'!P13</f>
        <v>12910.1</v>
      </c>
      <c r="D13" s="45">
        <f>'МЗ-корректировка'!P13</f>
        <v>119.6</v>
      </c>
      <c r="E13" s="45">
        <f>'Общехоз.'!N15</f>
        <v>2329.6000000000004</v>
      </c>
      <c r="F13" s="126">
        <v>137.3</v>
      </c>
      <c r="G13" s="22">
        <f t="shared" si="3"/>
        <v>15496.6</v>
      </c>
      <c r="H13" s="22">
        <v>14010.7</v>
      </c>
      <c r="I13" s="46">
        <f t="shared" si="0"/>
        <v>-1100.6000000000004</v>
      </c>
      <c r="J13" s="22">
        <f t="shared" si="1"/>
        <v>9915.6</v>
      </c>
      <c r="K13" s="49">
        <f t="shared" si="2"/>
        <v>2994.5</v>
      </c>
      <c r="L13" s="47"/>
      <c r="M13" s="47"/>
      <c r="N13" s="47"/>
      <c r="O13" s="47"/>
      <c r="P13" s="50"/>
      <c r="Q13" s="47"/>
      <c r="R13" s="47"/>
      <c r="S13" s="20"/>
      <c r="T13" s="20"/>
    </row>
    <row r="14" spans="1:20" ht="15.75">
      <c r="A14" s="6" t="s">
        <v>6</v>
      </c>
      <c r="B14" s="24">
        <v>12</v>
      </c>
      <c r="C14" s="22">
        <f>'Для корректировки'!P14</f>
        <v>5844.900000000001</v>
      </c>
      <c r="D14" s="45">
        <f>'МЗ-корректировка'!P14</f>
        <v>51.2</v>
      </c>
      <c r="E14" s="45">
        <f>'Общехоз.'!N16</f>
        <v>1491.8</v>
      </c>
      <c r="F14" s="22">
        <v>43.5</v>
      </c>
      <c r="G14" s="22">
        <f t="shared" si="3"/>
        <v>7431.400000000001</v>
      </c>
      <c r="H14" s="22">
        <v>6353.9</v>
      </c>
      <c r="I14" s="46">
        <f t="shared" si="0"/>
        <v>-508.9999999999991</v>
      </c>
      <c r="J14" s="22">
        <f t="shared" si="1"/>
        <v>4489.2</v>
      </c>
      <c r="K14" s="49">
        <f t="shared" si="2"/>
        <v>1355.7000000000007</v>
      </c>
      <c r="L14" s="47"/>
      <c r="M14" s="47"/>
      <c r="N14" s="47"/>
      <c r="O14" s="47"/>
      <c r="P14" s="50"/>
      <c r="Q14" s="47"/>
      <c r="R14" s="47"/>
      <c r="S14" s="104"/>
      <c r="T14" s="20"/>
    </row>
    <row r="15" spans="1:20" ht="15.75">
      <c r="A15" s="6" t="s">
        <v>7</v>
      </c>
      <c r="B15" s="24">
        <v>12</v>
      </c>
      <c r="C15" s="22">
        <f>'Для корректировки'!P15</f>
        <v>13762.8</v>
      </c>
      <c r="D15" s="45">
        <f>'МЗ-корректировка'!P15</f>
        <v>133.4</v>
      </c>
      <c r="E15" s="45">
        <f>'Общехоз.'!N17</f>
        <v>2491.7000000000003</v>
      </c>
      <c r="F15" s="22">
        <v>209.4</v>
      </c>
      <c r="G15" s="22">
        <f t="shared" si="3"/>
        <v>16597.3</v>
      </c>
      <c r="H15" s="22">
        <v>14882.9</v>
      </c>
      <c r="I15" s="46">
        <f t="shared" si="0"/>
        <v>-1120.1000000000004</v>
      </c>
      <c r="J15" s="22">
        <f t="shared" si="1"/>
        <v>10570.5</v>
      </c>
      <c r="K15" s="49">
        <f t="shared" si="2"/>
        <v>3192.2999999999993</v>
      </c>
      <c r="L15" s="47"/>
      <c r="M15" s="47"/>
      <c r="N15" s="47"/>
      <c r="O15" s="47"/>
      <c r="P15" s="50"/>
      <c r="Q15" s="47"/>
      <c r="R15" s="47"/>
      <c r="S15" s="20"/>
      <c r="T15" s="20"/>
    </row>
    <row r="16" spans="1:20" ht="15.75">
      <c r="A16" s="6" t="s">
        <v>8</v>
      </c>
      <c r="B16" s="24">
        <v>12</v>
      </c>
      <c r="C16" s="22">
        <f>'Для корректировки'!P16</f>
        <v>13343.2</v>
      </c>
      <c r="D16" s="45">
        <f>'МЗ-корректировка'!P16</f>
        <v>133.8</v>
      </c>
      <c r="E16" s="45">
        <f>'Общехоз.'!N18</f>
        <v>2246.6</v>
      </c>
      <c r="F16" s="22">
        <v>113.8</v>
      </c>
      <c r="G16" s="22">
        <f t="shared" si="3"/>
        <v>15837.4</v>
      </c>
      <c r="H16" s="22">
        <v>14602.1</v>
      </c>
      <c r="I16" s="46">
        <f t="shared" si="0"/>
        <v>-1258.8999999999996</v>
      </c>
      <c r="J16" s="22">
        <f t="shared" si="1"/>
        <v>10248.2</v>
      </c>
      <c r="K16" s="49">
        <f t="shared" si="2"/>
        <v>3095</v>
      </c>
      <c r="L16" s="47"/>
      <c r="M16" s="47"/>
      <c r="N16" s="47"/>
      <c r="O16" s="47"/>
      <c r="P16" s="50"/>
      <c r="Q16" s="47"/>
      <c r="R16" s="47"/>
      <c r="S16" s="20"/>
      <c r="T16" s="20"/>
    </row>
    <row r="17" spans="1:20" ht="15.75">
      <c r="A17" s="6" t="s">
        <v>9</v>
      </c>
      <c r="B17" s="24">
        <v>12</v>
      </c>
      <c r="C17" s="22">
        <f>'Для корректировки'!P17</f>
        <v>11777.600000000002</v>
      </c>
      <c r="D17" s="45">
        <f>'МЗ-корректировка'!P17</f>
        <v>117.9</v>
      </c>
      <c r="E17" s="45">
        <f>'Общехоз.'!N19</f>
        <v>2422</v>
      </c>
      <c r="F17" s="22">
        <v>193</v>
      </c>
      <c r="G17" s="22">
        <f t="shared" si="3"/>
        <v>14510.500000000002</v>
      </c>
      <c r="H17" s="22">
        <v>12920.3</v>
      </c>
      <c r="I17" s="46">
        <f t="shared" si="0"/>
        <v>-1142.699999999997</v>
      </c>
      <c r="J17" s="22">
        <f t="shared" si="1"/>
        <v>9045.8</v>
      </c>
      <c r="K17" s="49">
        <f t="shared" si="2"/>
        <v>2731.800000000003</v>
      </c>
      <c r="L17" s="47"/>
      <c r="M17" s="47"/>
      <c r="N17" s="47"/>
      <c r="O17" s="47"/>
      <c r="P17" s="20"/>
      <c r="Q17" s="47"/>
      <c r="R17" s="47"/>
      <c r="S17" s="104"/>
      <c r="T17" s="20"/>
    </row>
    <row r="18" spans="1:20" ht="15.75">
      <c r="A18" s="6" t="s">
        <v>10</v>
      </c>
      <c r="B18" s="24">
        <v>12</v>
      </c>
      <c r="C18" s="22">
        <f>'Для корректировки'!P18</f>
        <v>11775</v>
      </c>
      <c r="D18" s="45">
        <f>'МЗ-корректировка'!P18</f>
        <v>122.80000000000001</v>
      </c>
      <c r="E18" s="45">
        <f>'Общехоз.'!N20</f>
        <v>2431.9</v>
      </c>
      <c r="F18" s="22">
        <v>296.8</v>
      </c>
      <c r="G18" s="22">
        <f t="shared" si="3"/>
        <v>14626.499999999998</v>
      </c>
      <c r="H18" s="22">
        <v>12787.8</v>
      </c>
      <c r="I18" s="46">
        <f t="shared" si="0"/>
        <v>-1012.7999999999993</v>
      </c>
      <c r="J18" s="22">
        <f t="shared" si="1"/>
        <v>9043.8</v>
      </c>
      <c r="K18" s="49">
        <f t="shared" si="2"/>
        <v>2731.2000000000007</v>
      </c>
      <c r="L18" s="47"/>
      <c r="M18" s="47"/>
      <c r="N18" s="47"/>
      <c r="O18" s="47"/>
      <c r="P18" s="20"/>
      <c r="Q18" s="47"/>
      <c r="R18" s="47"/>
      <c r="S18" s="20"/>
      <c r="T18" s="20"/>
    </row>
    <row r="19" spans="1:20" ht="15.75">
      <c r="A19" s="7" t="s">
        <v>11</v>
      </c>
      <c r="B19" s="24">
        <v>12</v>
      </c>
      <c r="C19" s="22">
        <f>'Для корректировки'!P19</f>
        <v>4971.2</v>
      </c>
      <c r="D19" s="45">
        <f>'МЗ-корректировка'!P19</f>
        <v>36.9</v>
      </c>
      <c r="E19" s="45">
        <f>'Общехоз.'!N21</f>
        <v>1996.1000000000001</v>
      </c>
      <c r="F19" s="22">
        <v>571.7</v>
      </c>
      <c r="G19" s="22">
        <f t="shared" si="3"/>
        <v>7575.9</v>
      </c>
      <c r="H19" s="22">
        <v>5234.5</v>
      </c>
      <c r="I19" s="46">
        <f t="shared" si="0"/>
        <v>-263.3000000000002</v>
      </c>
      <c r="J19" s="22">
        <f t="shared" si="1"/>
        <v>3818.1</v>
      </c>
      <c r="K19" s="49">
        <f t="shared" si="2"/>
        <v>1153.1</v>
      </c>
      <c r="L19" s="47"/>
      <c r="M19" s="47"/>
      <c r="N19" s="47"/>
      <c r="O19" s="47"/>
      <c r="P19" s="20"/>
      <c r="Q19" s="47"/>
      <c r="R19" s="47"/>
      <c r="S19" s="20"/>
      <c r="T19" s="20"/>
    </row>
    <row r="20" spans="1:20" ht="15.75">
      <c r="A20" s="6" t="s">
        <v>25</v>
      </c>
      <c r="B20" s="25">
        <v>10</v>
      </c>
      <c r="C20" s="22">
        <f>'Для корректировки'!P20</f>
        <v>1059.4</v>
      </c>
      <c r="D20" s="45">
        <f>'МЗ-корректировка'!P20</f>
        <v>10</v>
      </c>
      <c r="E20" s="45">
        <f>'Общехоз.'!N22</f>
        <v>870.6</v>
      </c>
      <c r="F20" s="126">
        <v>3.5</v>
      </c>
      <c r="G20" s="22">
        <f t="shared" si="3"/>
        <v>1943.5</v>
      </c>
      <c r="H20" s="22">
        <v>1154.1</v>
      </c>
      <c r="I20" s="46">
        <f t="shared" si="0"/>
        <v>-94.69999999999982</v>
      </c>
      <c r="J20" s="22">
        <f t="shared" si="1"/>
        <v>813.7</v>
      </c>
      <c r="K20" s="49">
        <f t="shared" si="2"/>
        <v>245.70000000000005</v>
      </c>
      <c r="L20" s="47"/>
      <c r="M20" s="47"/>
      <c r="N20" s="47"/>
      <c r="O20" s="47"/>
      <c r="P20" s="50"/>
      <c r="Q20" s="47"/>
      <c r="R20" s="47"/>
      <c r="S20" s="20"/>
      <c r="T20" s="20"/>
    </row>
    <row r="21" spans="1:20" ht="15.75">
      <c r="A21" s="6" t="s">
        <v>24</v>
      </c>
      <c r="B21" s="25">
        <v>10</v>
      </c>
      <c r="C21" s="22">
        <f>'Для корректировки'!P21</f>
        <v>1401.2</v>
      </c>
      <c r="D21" s="45">
        <f>'МЗ-корректировка'!P21</f>
        <v>14.2</v>
      </c>
      <c r="E21" s="45">
        <f>'Общехоз.'!N23</f>
        <v>503.6</v>
      </c>
      <c r="F21" s="126">
        <v>5.7</v>
      </c>
      <c r="G21" s="22">
        <f t="shared" si="3"/>
        <v>1924.7</v>
      </c>
      <c r="H21" s="22">
        <v>1501.3</v>
      </c>
      <c r="I21" s="46">
        <f t="shared" si="0"/>
        <v>-100.09999999999991</v>
      </c>
      <c r="J21" s="22">
        <f t="shared" si="1"/>
        <v>1076.2</v>
      </c>
      <c r="K21" s="49">
        <f t="shared" si="2"/>
        <v>325</v>
      </c>
      <c r="L21" s="47"/>
      <c r="M21" s="47"/>
      <c r="N21" s="47"/>
      <c r="O21" s="47"/>
      <c r="P21" s="50"/>
      <c r="Q21" s="47"/>
      <c r="R21" s="47"/>
      <c r="S21" s="104"/>
      <c r="T21" s="20"/>
    </row>
    <row r="22" spans="1:20" ht="15.75">
      <c r="A22" s="6" t="s">
        <v>12</v>
      </c>
      <c r="B22" s="25">
        <v>10</v>
      </c>
      <c r="C22" s="22">
        <f>'Для корректировки'!P22</f>
        <v>2672.5</v>
      </c>
      <c r="D22" s="45">
        <f>'МЗ-корректировка'!P22</f>
        <v>22.200000000000003</v>
      </c>
      <c r="E22" s="45">
        <f>'Общехоз.'!N24</f>
        <v>1058.6999999999998</v>
      </c>
      <c r="F22" s="126">
        <v>2.5</v>
      </c>
      <c r="G22" s="22">
        <f t="shared" si="3"/>
        <v>3755.8999999999996</v>
      </c>
      <c r="H22" s="22">
        <v>2830.3</v>
      </c>
      <c r="I22" s="46">
        <f t="shared" si="0"/>
        <v>-157.80000000000018</v>
      </c>
      <c r="J22" s="22">
        <f t="shared" si="1"/>
        <v>2052.6</v>
      </c>
      <c r="K22" s="49">
        <f t="shared" si="2"/>
        <v>619.9000000000001</v>
      </c>
      <c r="L22" s="47"/>
      <c r="M22" s="47"/>
      <c r="N22" s="47"/>
      <c r="O22" s="47"/>
      <c r="P22" s="50"/>
      <c r="Q22" s="47"/>
      <c r="R22" s="47"/>
      <c r="S22" s="20"/>
      <c r="T22" s="20"/>
    </row>
    <row r="23" spans="1:20" ht="15.75">
      <c r="A23" s="6" t="s">
        <v>13</v>
      </c>
      <c r="B23" s="25">
        <v>10</v>
      </c>
      <c r="C23" s="22">
        <f>'Для корректировки'!P23</f>
        <v>1879.7</v>
      </c>
      <c r="D23" s="45">
        <f>'МЗ-корректировка'!P23</f>
        <v>19.9</v>
      </c>
      <c r="E23" s="45">
        <f>'Общехоз.'!N25</f>
        <v>934.9</v>
      </c>
      <c r="F23" s="126">
        <v>2</v>
      </c>
      <c r="G23" s="22">
        <f t="shared" si="3"/>
        <v>2836.5</v>
      </c>
      <c r="H23" s="22">
        <v>2074.2</v>
      </c>
      <c r="I23" s="46">
        <f t="shared" si="0"/>
        <v>-194.49999999999977</v>
      </c>
      <c r="J23" s="22">
        <f t="shared" si="1"/>
        <v>1443.7</v>
      </c>
      <c r="K23" s="49">
        <f t="shared" si="2"/>
        <v>436</v>
      </c>
      <c r="L23" s="47"/>
      <c r="M23" s="47"/>
      <c r="N23" s="47"/>
      <c r="O23" s="47"/>
      <c r="P23" s="50"/>
      <c r="Q23" s="47"/>
      <c r="R23" s="47"/>
      <c r="S23" s="104"/>
      <c r="T23" s="20"/>
    </row>
    <row r="24" spans="1:20" ht="15.75">
      <c r="A24" s="6" t="s">
        <v>14</v>
      </c>
      <c r="B24" s="25">
        <v>10</v>
      </c>
      <c r="C24" s="22">
        <f>'Для корректировки'!P24</f>
        <v>1845.1999999999998</v>
      </c>
      <c r="D24" s="45">
        <f>'МЗ-корректировка'!P24</f>
        <v>21.6</v>
      </c>
      <c r="E24" s="45">
        <f>'Общехоз.'!N26</f>
        <v>882.1</v>
      </c>
      <c r="F24" s="126">
        <v>1.3</v>
      </c>
      <c r="G24" s="22">
        <f t="shared" si="3"/>
        <v>2750.2</v>
      </c>
      <c r="H24" s="22">
        <v>1973.5</v>
      </c>
      <c r="I24" s="46">
        <f t="shared" si="0"/>
        <v>-128.30000000000018</v>
      </c>
      <c r="J24" s="22">
        <f t="shared" si="1"/>
        <v>1417.2</v>
      </c>
      <c r="K24" s="49">
        <f t="shared" si="2"/>
        <v>427.9999999999998</v>
      </c>
      <c r="L24" s="47"/>
      <c r="M24" s="47"/>
      <c r="N24" s="47"/>
      <c r="O24" s="47"/>
      <c r="P24" s="50"/>
      <c r="Q24" s="47"/>
      <c r="R24" s="47"/>
      <c r="S24" s="20"/>
      <c r="T24" s="20"/>
    </row>
    <row r="25" spans="1:20" s="8" customFormat="1" ht="16.5" customHeight="1">
      <c r="A25" s="7" t="s">
        <v>15</v>
      </c>
      <c r="B25" s="26">
        <v>10</v>
      </c>
      <c r="C25" s="22">
        <f>'Для корректировки'!P25</f>
        <v>2062.7999999999997</v>
      </c>
      <c r="D25" s="45">
        <f>'МЗ-корректировка'!P25</f>
        <v>19.8</v>
      </c>
      <c r="E25" s="45">
        <f>'Общехоз.'!N27</f>
        <v>789.2</v>
      </c>
      <c r="F25" s="126">
        <v>1.2</v>
      </c>
      <c r="G25" s="22">
        <f t="shared" si="3"/>
        <v>2873</v>
      </c>
      <c r="H25" s="22">
        <v>2121.3</v>
      </c>
      <c r="I25" s="46">
        <f t="shared" si="0"/>
        <v>-58.500000000000455</v>
      </c>
      <c r="J25" s="22">
        <f t="shared" si="1"/>
        <v>1584.3</v>
      </c>
      <c r="K25" s="49">
        <f t="shared" si="2"/>
        <v>478.4999999999998</v>
      </c>
      <c r="L25" s="47"/>
      <c r="M25" s="47"/>
      <c r="N25" s="47"/>
      <c r="O25" s="51"/>
      <c r="P25" s="52"/>
      <c r="Q25" s="47"/>
      <c r="R25" s="47"/>
      <c r="S25" s="53"/>
      <c r="T25" s="53"/>
    </row>
    <row r="26" spans="1:20" ht="19.5" customHeight="1">
      <c r="A26" s="6" t="s">
        <v>26</v>
      </c>
      <c r="B26" s="25">
        <v>9</v>
      </c>
      <c r="C26" s="22">
        <f>'Для корректировки'!P26</f>
        <v>959.5999999999999</v>
      </c>
      <c r="D26" s="45">
        <f>'МЗ-корректировка'!P26</f>
        <v>4</v>
      </c>
      <c r="E26" s="45">
        <f>'Общехоз.'!N28</f>
        <v>766.6</v>
      </c>
      <c r="F26" s="126">
        <v>1.9</v>
      </c>
      <c r="G26" s="22">
        <f t="shared" si="3"/>
        <v>1732.1</v>
      </c>
      <c r="H26" s="22">
        <v>1051</v>
      </c>
      <c r="I26" s="46">
        <f t="shared" si="0"/>
        <v>-91.40000000000009</v>
      </c>
      <c r="J26" s="22">
        <f t="shared" si="1"/>
        <v>737</v>
      </c>
      <c r="K26" s="49">
        <f t="shared" si="2"/>
        <v>222.5999999999999</v>
      </c>
      <c r="L26" s="47"/>
      <c r="M26" s="47"/>
      <c r="N26" s="47"/>
      <c r="O26" s="47"/>
      <c r="P26" s="50"/>
      <c r="Q26" s="47"/>
      <c r="R26" s="47"/>
      <c r="S26" s="104"/>
      <c r="T26" s="20"/>
    </row>
    <row r="27" spans="1:20" ht="19.5" customHeight="1">
      <c r="A27" s="6" t="s">
        <v>27</v>
      </c>
      <c r="B27" s="25">
        <v>9</v>
      </c>
      <c r="C27" s="22">
        <f>'Для корректировки'!P27</f>
        <v>939</v>
      </c>
      <c r="D27" s="45">
        <f>'МЗ-корректировка'!P27</f>
        <v>4.6</v>
      </c>
      <c r="E27" s="45">
        <f>'Общехоз.'!N29</f>
        <v>834.8</v>
      </c>
      <c r="F27" s="126">
        <v>1.6</v>
      </c>
      <c r="G27" s="22">
        <f t="shared" si="3"/>
        <v>1780</v>
      </c>
      <c r="H27" s="22">
        <v>1030.9</v>
      </c>
      <c r="I27" s="46">
        <f t="shared" si="0"/>
        <v>-91.90000000000009</v>
      </c>
      <c r="J27" s="22">
        <f t="shared" si="1"/>
        <v>721.2</v>
      </c>
      <c r="K27" s="49">
        <f t="shared" si="2"/>
        <v>217.79999999999995</v>
      </c>
      <c r="L27" s="47"/>
      <c r="M27" s="47"/>
      <c r="N27" s="47"/>
      <c r="O27" s="47"/>
      <c r="P27" s="50"/>
      <c r="Q27" s="47"/>
      <c r="R27" s="47"/>
      <c r="S27" s="20"/>
      <c r="T27" s="20"/>
    </row>
    <row r="28" spans="1:20" ht="19.5" customHeight="1">
      <c r="A28" s="6" t="s">
        <v>28</v>
      </c>
      <c r="B28" s="25">
        <v>9</v>
      </c>
      <c r="C28" s="22">
        <f>'Для корректировки'!P28</f>
        <v>972.1</v>
      </c>
      <c r="D28" s="45">
        <f>'МЗ-корректировка'!P28</f>
        <v>4.6</v>
      </c>
      <c r="E28" s="45">
        <f>'Общехоз.'!N30</f>
        <v>789.3</v>
      </c>
      <c r="F28" s="126">
        <v>0.8</v>
      </c>
      <c r="G28" s="22">
        <f t="shared" si="3"/>
        <v>1766.8</v>
      </c>
      <c r="H28" s="22">
        <v>1055.7</v>
      </c>
      <c r="I28" s="46">
        <f t="shared" si="0"/>
        <v>-83.60000000000002</v>
      </c>
      <c r="J28" s="22">
        <f t="shared" si="1"/>
        <v>746.6</v>
      </c>
      <c r="K28" s="49">
        <f t="shared" si="2"/>
        <v>225.5</v>
      </c>
      <c r="L28" s="47"/>
      <c r="M28" s="47"/>
      <c r="N28" s="47"/>
      <c r="O28" s="47"/>
      <c r="P28" s="50"/>
      <c r="Q28" s="47"/>
      <c r="R28" s="47"/>
      <c r="S28" s="104"/>
      <c r="T28" s="20"/>
    </row>
    <row r="29" spans="1:20" ht="27.75" customHeight="1">
      <c r="A29" s="6" t="s">
        <v>29</v>
      </c>
      <c r="B29" s="25">
        <v>10</v>
      </c>
      <c r="C29" s="22">
        <f>'Для корректировки'!P29</f>
        <v>1053.7</v>
      </c>
      <c r="D29" s="45">
        <f>'МЗ-корректировка'!P29</f>
        <v>5.2</v>
      </c>
      <c r="E29" s="45">
        <f>'Общехоз.'!N31</f>
        <v>797.1</v>
      </c>
      <c r="F29" s="126">
        <v>0.3</v>
      </c>
      <c r="G29" s="22">
        <f t="shared" si="3"/>
        <v>1856.3</v>
      </c>
      <c r="H29" s="22">
        <v>1151.5</v>
      </c>
      <c r="I29" s="46">
        <f t="shared" si="0"/>
        <v>-97.79999999999995</v>
      </c>
      <c r="J29" s="22">
        <f t="shared" si="1"/>
        <v>809.3</v>
      </c>
      <c r="K29" s="49">
        <f t="shared" si="2"/>
        <v>244.4000000000001</v>
      </c>
      <c r="L29" s="47"/>
      <c r="M29" s="47"/>
      <c r="N29" s="47"/>
      <c r="O29" s="47"/>
      <c r="P29" s="50"/>
      <c r="Q29" s="47"/>
      <c r="R29" s="47"/>
      <c r="S29" s="104"/>
      <c r="T29" s="20"/>
    </row>
    <row r="30" spans="1:20" ht="22.5" customHeight="1">
      <c r="A30" s="6" t="s">
        <v>16</v>
      </c>
      <c r="B30" s="27">
        <v>10</v>
      </c>
      <c r="C30" s="22">
        <f>'Для корректировки'!P30</f>
        <v>3609.2999999999997</v>
      </c>
      <c r="D30" s="45">
        <f>'МЗ-корректировка'!P30</f>
        <v>52</v>
      </c>
      <c r="E30" s="45">
        <f>'Общехоз.'!N32</f>
        <v>1243.7</v>
      </c>
      <c r="F30" s="126">
        <v>39.7</v>
      </c>
      <c r="G30" s="22">
        <f t="shared" si="3"/>
        <v>4944.7</v>
      </c>
      <c r="H30" s="22">
        <v>3866.6</v>
      </c>
      <c r="I30" s="46">
        <f t="shared" si="0"/>
        <v>-257.3000000000002</v>
      </c>
      <c r="J30" s="22">
        <f t="shared" si="1"/>
        <v>2772.1</v>
      </c>
      <c r="K30" s="49">
        <f t="shared" si="2"/>
        <v>837.1999999999998</v>
      </c>
      <c r="L30" s="47"/>
      <c r="M30" s="47"/>
      <c r="N30" s="47"/>
      <c r="O30" s="47"/>
      <c r="P30" s="50"/>
      <c r="Q30" s="47"/>
      <c r="R30" s="47"/>
      <c r="S30" s="20"/>
      <c r="T30" s="20"/>
    </row>
    <row r="31" spans="1:20" ht="18.75" customHeight="1">
      <c r="A31" s="6" t="s">
        <v>17</v>
      </c>
      <c r="B31" s="25">
        <v>10</v>
      </c>
      <c r="C31" s="22">
        <f>'Для корректировки'!P31</f>
        <v>4634.2</v>
      </c>
      <c r="D31" s="45">
        <f>'МЗ-корректировка'!P31</f>
        <v>52.8</v>
      </c>
      <c r="E31" s="45">
        <f>'Общехоз.'!N33</f>
        <v>1164</v>
      </c>
      <c r="F31" s="126">
        <v>34</v>
      </c>
      <c r="G31" s="22">
        <f t="shared" si="3"/>
        <v>5885</v>
      </c>
      <c r="H31" s="22">
        <v>4941.9</v>
      </c>
      <c r="I31" s="46">
        <f t="shared" si="0"/>
        <v>-307.6999999999998</v>
      </c>
      <c r="J31" s="22">
        <f t="shared" si="1"/>
        <v>3559.3</v>
      </c>
      <c r="K31" s="49">
        <f t="shared" si="2"/>
        <v>1074.8999999999996</v>
      </c>
      <c r="L31" s="47"/>
      <c r="M31" s="47"/>
      <c r="N31" s="47"/>
      <c r="O31" s="47"/>
      <c r="P31" s="50"/>
      <c r="Q31" s="47"/>
      <c r="R31" s="47"/>
      <c r="S31" s="20"/>
      <c r="T31" s="20"/>
    </row>
    <row r="32" spans="1:20" s="8" customFormat="1" ht="25.5" customHeight="1">
      <c r="A32" s="7" t="s">
        <v>18</v>
      </c>
      <c r="B32" s="26">
        <v>10</v>
      </c>
      <c r="C32" s="22">
        <f>'Для корректировки'!P32</f>
        <v>6018.6</v>
      </c>
      <c r="D32" s="45">
        <f>'МЗ-корректировка'!P32</f>
        <v>52</v>
      </c>
      <c r="E32" s="45">
        <f>'Общехоз.'!N34</f>
        <v>1311.5</v>
      </c>
      <c r="F32" s="126">
        <v>60</v>
      </c>
      <c r="G32" s="22">
        <f t="shared" si="3"/>
        <v>7442.1</v>
      </c>
      <c r="H32" s="22">
        <v>6420.9</v>
      </c>
      <c r="I32" s="46">
        <f t="shared" si="0"/>
        <v>-402.2999999999993</v>
      </c>
      <c r="J32" s="22">
        <f t="shared" si="1"/>
        <v>4622.6</v>
      </c>
      <c r="K32" s="49">
        <f t="shared" si="2"/>
        <v>1396</v>
      </c>
      <c r="L32" s="47"/>
      <c r="M32" s="47"/>
      <c r="N32" s="47"/>
      <c r="O32" s="51"/>
      <c r="P32" s="52"/>
      <c r="Q32" s="47"/>
      <c r="R32" s="47"/>
      <c r="S32" s="53"/>
      <c r="T32" s="53"/>
    </row>
    <row r="33" spans="1:20" ht="15.75">
      <c r="A33" s="6" t="s">
        <v>19</v>
      </c>
      <c r="B33" s="25">
        <v>10</v>
      </c>
      <c r="C33" s="22">
        <f>'Для корректировки'!P33</f>
        <v>4182.9</v>
      </c>
      <c r="D33" s="45">
        <f>'МЗ-корректировка'!P33</f>
        <v>43.6</v>
      </c>
      <c r="E33" s="45">
        <f>'Общехоз.'!N35</f>
        <v>1186.5</v>
      </c>
      <c r="F33" s="22">
        <v>48.4</v>
      </c>
      <c r="G33" s="22">
        <f t="shared" si="3"/>
        <v>5461.4</v>
      </c>
      <c r="H33" s="22">
        <v>4425</v>
      </c>
      <c r="I33" s="46">
        <f t="shared" si="0"/>
        <v>-242.10000000000036</v>
      </c>
      <c r="J33" s="22">
        <f t="shared" si="1"/>
        <v>3212.7</v>
      </c>
      <c r="K33" s="49">
        <f t="shared" si="2"/>
        <v>970.1999999999998</v>
      </c>
      <c r="L33" s="47"/>
      <c r="M33" s="47"/>
      <c r="N33" s="47"/>
      <c r="O33" s="47"/>
      <c r="P33" s="20"/>
      <c r="Q33" s="47"/>
      <c r="R33" s="47"/>
      <c r="S33" s="20"/>
      <c r="T33" s="20"/>
    </row>
    <row r="34" spans="1:20" ht="15.75">
      <c r="A34" s="6" t="s">
        <v>20</v>
      </c>
      <c r="B34" s="25">
        <v>10</v>
      </c>
      <c r="C34" s="22">
        <f>'Для корректировки'!P34</f>
        <v>4214.299999999999</v>
      </c>
      <c r="D34" s="45">
        <f>'МЗ-корректировка'!P34</f>
        <v>50.4</v>
      </c>
      <c r="E34" s="45">
        <f>'Общехоз.'!N36</f>
        <v>1539.8</v>
      </c>
      <c r="F34" s="22">
        <v>6.2</v>
      </c>
      <c r="G34" s="22">
        <f t="shared" si="3"/>
        <v>5810.699999999999</v>
      </c>
      <c r="H34" s="22">
        <v>5163.8</v>
      </c>
      <c r="I34" s="46">
        <f t="shared" si="0"/>
        <v>-949.5000000000009</v>
      </c>
      <c r="J34" s="22">
        <f t="shared" si="1"/>
        <v>3236.8</v>
      </c>
      <c r="K34" s="49">
        <f t="shared" si="2"/>
        <v>977.4999999999991</v>
      </c>
      <c r="L34" s="47"/>
      <c r="M34" s="47"/>
      <c r="N34" s="47"/>
      <c r="O34" s="47"/>
      <c r="P34" s="20"/>
      <c r="Q34" s="47"/>
      <c r="R34" s="47"/>
      <c r="S34" s="20"/>
      <c r="T34" s="20"/>
    </row>
    <row r="35" spans="1:20" ht="20.25" customHeight="1">
      <c r="A35" s="6" t="s">
        <v>30</v>
      </c>
      <c r="B35" s="25">
        <v>10</v>
      </c>
      <c r="C35" s="22">
        <f>'Для корректировки'!P35</f>
        <v>994.7</v>
      </c>
      <c r="D35" s="45">
        <f>'МЗ-корректировка'!P35</f>
        <v>10.799999999999999</v>
      </c>
      <c r="E35" s="45">
        <f>'Общехоз.'!N37</f>
        <v>809.4</v>
      </c>
      <c r="F35" s="22">
        <v>0.2</v>
      </c>
      <c r="G35" s="22">
        <f t="shared" si="3"/>
        <v>1815.1000000000001</v>
      </c>
      <c r="H35" s="22">
        <v>1063.8</v>
      </c>
      <c r="I35" s="46">
        <f t="shared" si="0"/>
        <v>-69.09999999999991</v>
      </c>
      <c r="J35" s="22">
        <f t="shared" si="1"/>
        <v>764</v>
      </c>
      <c r="K35" s="49">
        <f t="shared" si="2"/>
        <v>230.70000000000005</v>
      </c>
      <c r="L35" s="47"/>
      <c r="M35" s="47"/>
      <c r="N35" s="47"/>
      <c r="O35" s="47"/>
      <c r="P35" s="50"/>
      <c r="Q35" s="47"/>
      <c r="R35" s="47"/>
      <c r="S35" s="104"/>
      <c r="T35" s="20"/>
    </row>
    <row r="36" spans="1:20" ht="15.75">
      <c r="A36" s="6" t="s">
        <v>31</v>
      </c>
      <c r="B36" s="25">
        <v>10</v>
      </c>
      <c r="C36" s="22">
        <f>'Для корректировки'!P36</f>
        <v>1048.5</v>
      </c>
      <c r="D36" s="45">
        <f>'МЗ-корректировка'!P36</f>
        <v>4.6</v>
      </c>
      <c r="E36" s="45">
        <f>'Общехоз.'!N38</f>
        <v>595.3</v>
      </c>
      <c r="F36" s="22">
        <v>1.2</v>
      </c>
      <c r="G36" s="22">
        <f t="shared" si="3"/>
        <v>1649.6</v>
      </c>
      <c r="H36" s="22">
        <v>1124.6</v>
      </c>
      <c r="I36" s="46">
        <f t="shared" si="0"/>
        <v>-76.09999999999991</v>
      </c>
      <c r="J36" s="22">
        <f t="shared" si="1"/>
        <v>805.3</v>
      </c>
      <c r="K36" s="49">
        <f t="shared" si="2"/>
        <v>243.20000000000005</v>
      </c>
      <c r="L36" s="47"/>
      <c r="M36" s="47"/>
      <c r="N36" s="47"/>
      <c r="O36" s="47"/>
      <c r="P36" s="50"/>
      <c r="Q36" s="47"/>
      <c r="R36" s="47"/>
      <c r="S36" s="20"/>
      <c r="T36" s="20"/>
    </row>
    <row r="37" spans="1:20" ht="21" customHeight="1">
      <c r="A37" s="6" t="s">
        <v>21</v>
      </c>
      <c r="B37" s="25">
        <v>10</v>
      </c>
      <c r="C37" s="22">
        <f>'Для корректировки'!P37</f>
        <v>2018.8</v>
      </c>
      <c r="D37" s="45">
        <f>'МЗ-корректировка'!P37</f>
        <v>20.1</v>
      </c>
      <c r="E37" s="45">
        <f>'Общехоз.'!N39</f>
        <v>685.6999999999999</v>
      </c>
      <c r="F37" s="22">
        <v>2.4</v>
      </c>
      <c r="G37" s="22">
        <f t="shared" si="3"/>
        <v>2727</v>
      </c>
      <c r="H37" s="22">
        <v>1983.9</v>
      </c>
      <c r="I37" s="46">
        <f t="shared" si="0"/>
        <v>34.899999999999864</v>
      </c>
      <c r="J37" s="22">
        <f t="shared" si="1"/>
        <v>1550.5</v>
      </c>
      <c r="K37" s="49">
        <f t="shared" si="2"/>
        <v>468.29999999999995</v>
      </c>
      <c r="L37" s="47"/>
      <c r="M37" s="47"/>
      <c r="N37" s="47"/>
      <c r="O37" s="47"/>
      <c r="P37" s="50"/>
      <c r="Q37" s="47"/>
      <c r="R37" s="47"/>
      <c r="S37" s="20"/>
      <c r="T37" s="20"/>
    </row>
    <row r="38" spans="1:20" ht="21" customHeight="1">
      <c r="A38" s="6" t="s">
        <v>32</v>
      </c>
      <c r="B38" s="25">
        <v>9</v>
      </c>
      <c r="C38" s="22">
        <f>'Для корректировки'!P38</f>
        <v>935.1999999999999</v>
      </c>
      <c r="D38" s="45">
        <f>'МЗ-корректировка'!P38</f>
        <v>10.2</v>
      </c>
      <c r="E38" s="45">
        <f>'Общехоз.'!N40</f>
        <v>869.3</v>
      </c>
      <c r="F38" s="22">
        <v>3.5</v>
      </c>
      <c r="G38" s="22">
        <f t="shared" si="3"/>
        <v>1818.1999999999998</v>
      </c>
      <c r="H38" s="22">
        <v>1028.3</v>
      </c>
      <c r="I38" s="46">
        <f t="shared" si="0"/>
        <v>-93.10000000000002</v>
      </c>
      <c r="J38" s="22">
        <f t="shared" si="1"/>
        <v>718.3</v>
      </c>
      <c r="K38" s="49">
        <f t="shared" si="2"/>
        <v>216.89999999999998</v>
      </c>
      <c r="L38" s="47"/>
      <c r="M38" s="47"/>
      <c r="N38" s="47"/>
      <c r="O38" s="47"/>
      <c r="P38" s="50"/>
      <c r="Q38" s="47"/>
      <c r="R38" s="47"/>
      <c r="S38" s="20"/>
      <c r="T38" s="20"/>
    </row>
    <row r="39" spans="1:20" ht="15.75">
      <c r="A39" s="6" t="s">
        <v>33</v>
      </c>
      <c r="B39" s="25">
        <v>10</v>
      </c>
      <c r="C39" s="22">
        <f>'Для корректировки'!P39</f>
        <v>1794.8999999999999</v>
      </c>
      <c r="D39" s="45">
        <f>'МЗ-корректировка'!P39</f>
        <v>10</v>
      </c>
      <c r="E39" s="45">
        <f>'Общехоз.'!N41</f>
        <v>972.9</v>
      </c>
      <c r="F39" s="22">
        <v>0.8</v>
      </c>
      <c r="G39" s="22">
        <f t="shared" si="3"/>
        <v>2778.6</v>
      </c>
      <c r="H39" s="22">
        <v>1843.7</v>
      </c>
      <c r="I39" s="46">
        <f t="shared" si="0"/>
        <v>-48.80000000000018</v>
      </c>
      <c r="J39" s="22">
        <f t="shared" si="1"/>
        <v>1378.6</v>
      </c>
      <c r="K39" s="49">
        <f t="shared" si="2"/>
        <v>416.29999999999995</v>
      </c>
      <c r="L39" s="47"/>
      <c r="M39" s="47"/>
      <c r="N39" s="47"/>
      <c r="O39" s="47"/>
      <c r="P39" s="50"/>
      <c r="Q39" s="47"/>
      <c r="R39" s="47"/>
      <c r="S39" s="20"/>
      <c r="T39" s="20"/>
    </row>
    <row r="40" spans="1:20" ht="15.75">
      <c r="A40" s="6" t="s">
        <v>34</v>
      </c>
      <c r="B40" s="25">
        <v>10</v>
      </c>
      <c r="C40" s="22">
        <f>'Для корректировки'!P40</f>
        <v>1117.8999999999999</v>
      </c>
      <c r="D40" s="45">
        <f>'МЗ-корректировка'!P40</f>
        <v>4.6</v>
      </c>
      <c r="E40" s="45">
        <f>'Общехоз.'!N42</f>
        <v>177</v>
      </c>
      <c r="F40" s="22">
        <v>16.8</v>
      </c>
      <c r="G40" s="22">
        <f t="shared" si="3"/>
        <v>1316.2999999999997</v>
      </c>
      <c r="H40" s="22">
        <v>1214.1</v>
      </c>
      <c r="I40" s="46">
        <f t="shared" si="0"/>
        <v>-96.20000000000005</v>
      </c>
      <c r="J40" s="22">
        <f t="shared" si="1"/>
        <v>858.6</v>
      </c>
      <c r="K40" s="49">
        <f t="shared" si="2"/>
        <v>259.29999999999984</v>
      </c>
      <c r="L40" s="47"/>
      <c r="M40" s="47"/>
      <c r="N40" s="47"/>
      <c r="O40" s="47"/>
      <c r="P40" s="50"/>
      <c r="Q40" s="47"/>
      <c r="R40" s="47"/>
      <c r="S40" s="20"/>
      <c r="T40" s="20"/>
    </row>
    <row r="41" spans="1:20" ht="15.75">
      <c r="A41" s="6" t="s">
        <v>35</v>
      </c>
      <c r="B41" s="25">
        <v>10</v>
      </c>
      <c r="C41" s="22">
        <f>'Для корректировки'!P41</f>
        <v>2109.9</v>
      </c>
      <c r="D41" s="45">
        <f>'МЗ-корректировка'!P41</f>
        <v>20.6</v>
      </c>
      <c r="E41" s="45">
        <f>'Общехоз.'!N43</f>
        <v>745</v>
      </c>
      <c r="F41" s="22">
        <v>2.2</v>
      </c>
      <c r="G41" s="22">
        <f t="shared" si="3"/>
        <v>2877.7</v>
      </c>
      <c r="H41" s="22">
        <v>2215.4</v>
      </c>
      <c r="I41" s="46">
        <f t="shared" si="0"/>
        <v>-105.5</v>
      </c>
      <c r="J41" s="22">
        <f t="shared" si="1"/>
        <v>1620.5</v>
      </c>
      <c r="K41" s="49">
        <f t="shared" si="2"/>
        <v>489.4000000000001</v>
      </c>
      <c r="L41" s="47"/>
      <c r="M41" s="47"/>
      <c r="N41" s="47"/>
      <c r="O41" s="47"/>
      <c r="P41" s="50"/>
      <c r="Q41" s="47"/>
      <c r="R41" s="47"/>
      <c r="S41" s="104"/>
      <c r="T41" s="20"/>
    </row>
    <row r="42" spans="1:20" s="8" customFormat="1" ht="16.5" customHeight="1">
      <c r="A42" s="7" t="s">
        <v>36</v>
      </c>
      <c r="B42" s="26">
        <v>9</v>
      </c>
      <c r="C42" s="22">
        <f>'Для корректировки'!P42</f>
        <v>943.7</v>
      </c>
      <c r="D42" s="45">
        <f>'МЗ-корректировка'!P42</f>
        <v>9.8</v>
      </c>
      <c r="E42" s="45">
        <f>'Общехоз.'!N44</f>
        <v>495</v>
      </c>
      <c r="F42" s="22">
        <v>5.2</v>
      </c>
      <c r="G42" s="22">
        <f t="shared" si="3"/>
        <v>1453.7</v>
      </c>
      <c r="H42" s="22">
        <v>1038.4</v>
      </c>
      <c r="I42" s="46">
        <f t="shared" si="0"/>
        <v>-94.70000000000005</v>
      </c>
      <c r="J42" s="22">
        <f t="shared" si="1"/>
        <v>724.8</v>
      </c>
      <c r="K42" s="49">
        <f t="shared" si="2"/>
        <v>218.9000000000001</v>
      </c>
      <c r="L42" s="47"/>
      <c r="M42" s="47"/>
      <c r="N42" s="47"/>
      <c r="O42" s="51"/>
      <c r="P42" s="52"/>
      <c r="Q42" s="47"/>
      <c r="R42" s="47"/>
      <c r="S42" s="53"/>
      <c r="T42" s="53"/>
    </row>
    <row r="43" spans="1:20" s="8" customFormat="1" ht="15" customHeight="1">
      <c r="A43" s="7" t="s">
        <v>37</v>
      </c>
      <c r="B43" s="26">
        <v>10</v>
      </c>
      <c r="C43" s="22">
        <f>'Для корректировки'!P43</f>
        <v>1896</v>
      </c>
      <c r="D43" s="45">
        <f>'МЗ-корректировка'!P43</f>
        <v>17</v>
      </c>
      <c r="E43" s="45">
        <f>'Общехоз.'!N45</f>
        <v>842.4</v>
      </c>
      <c r="F43" s="22">
        <v>1.1</v>
      </c>
      <c r="G43" s="22">
        <f t="shared" si="3"/>
        <v>2756.5</v>
      </c>
      <c r="H43" s="22">
        <v>2053.6</v>
      </c>
      <c r="I43" s="46">
        <f t="shared" si="0"/>
        <v>-157.5999999999999</v>
      </c>
      <c r="J43" s="22">
        <f t="shared" si="1"/>
        <v>1456.2</v>
      </c>
      <c r="K43" s="49">
        <f t="shared" si="2"/>
        <v>439.79999999999995</v>
      </c>
      <c r="L43" s="47"/>
      <c r="M43" s="47"/>
      <c r="N43" s="47"/>
      <c r="O43" s="51"/>
      <c r="P43" s="52"/>
      <c r="Q43" s="47"/>
      <c r="R43" s="47"/>
      <c r="S43" s="53"/>
      <c r="T43" s="53"/>
    </row>
    <row r="44" spans="1:20" ht="18.75" customHeight="1">
      <c r="A44" s="6" t="s">
        <v>38</v>
      </c>
      <c r="B44" s="25">
        <v>10</v>
      </c>
      <c r="C44" s="22">
        <f>'Для корректировки'!P44</f>
        <v>2788.2</v>
      </c>
      <c r="D44" s="45">
        <f>'МЗ-корректировка'!P44</f>
        <v>28.8</v>
      </c>
      <c r="E44" s="45">
        <f>'Общехоз.'!N46</f>
        <v>1132.6000000000001</v>
      </c>
      <c r="F44" s="22">
        <v>25.2</v>
      </c>
      <c r="G44" s="22">
        <f t="shared" si="3"/>
        <v>3974.8</v>
      </c>
      <c r="H44" s="22">
        <v>2926.1</v>
      </c>
      <c r="I44" s="46">
        <f t="shared" si="0"/>
        <v>-137.9000000000001</v>
      </c>
      <c r="J44" s="22">
        <f t="shared" si="1"/>
        <v>2141.5</v>
      </c>
      <c r="K44" s="49">
        <f t="shared" si="2"/>
        <v>646.6999999999998</v>
      </c>
      <c r="L44" s="47"/>
      <c r="M44" s="47"/>
      <c r="N44" s="47"/>
      <c r="O44" s="47"/>
      <c r="P44" s="50"/>
      <c r="Q44" s="47"/>
      <c r="R44" s="47"/>
      <c r="S44" s="20"/>
      <c r="T44" s="20"/>
    </row>
    <row r="45" spans="1:20" ht="15.75">
      <c r="A45" s="6" t="s">
        <v>39</v>
      </c>
      <c r="B45" s="25">
        <v>9</v>
      </c>
      <c r="C45" s="22">
        <f>'Для корректировки'!P45</f>
        <v>940.7</v>
      </c>
      <c r="D45" s="45">
        <f>'МЗ-корректировка'!P45</f>
        <v>8.8</v>
      </c>
      <c r="E45" s="45">
        <f>'Общехоз.'!N47</f>
        <v>781.2</v>
      </c>
      <c r="F45" s="22">
        <v>0.8</v>
      </c>
      <c r="G45" s="22">
        <f t="shared" si="3"/>
        <v>1731.5</v>
      </c>
      <c r="H45" s="22">
        <v>1033.9</v>
      </c>
      <c r="I45" s="46">
        <f t="shared" si="0"/>
        <v>-93.20000000000005</v>
      </c>
      <c r="J45" s="22">
        <f t="shared" si="1"/>
        <v>722.5</v>
      </c>
      <c r="K45" s="49">
        <f t="shared" si="2"/>
        <v>218.20000000000005</v>
      </c>
      <c r="L45" s="47"/>
      <c r="M45" s="47"/>
      <c r="N45" s="47"/>
      <c r="O45" s="47"/>
      <c r="P45" s="50"/>
      <c r="Q45" s="47"/>
      <c r="R45" s="47"/>
      <c r="S45" s="20"/>
      <c r="T45" s="20"/>
    </row>
    <row r="46" spans="1:20" ht="14.25" customHeight="1">
      <c r="A46" s="6" t="s">
        <v>22</v>
      </c>
      <c r="B46" s="28">
        <v>10</v>
      </c>
      <c r="C46" s="22">
        <f>'Для корректировки'!P46</f>
        <v>1771.9</v>
      </c>
      <c r="D46" s="45">
        <f>'МЗ-корректировка'!P46</f>
        <v>16.200000000000003</v>
      </c>
      <c r="E46" s="45">
        <f>'Общехоз.'!N48</f>
        <v>871.9</v>
      </c>
      <c r="F46" s="22">
        <v>3.1</v>
      </c>
      <c r="G46" s="22">
        <f t="shared" si="3"/>
        <v>2663.1</v>
      </c>
      <c r="H46" s="22">
        <v>1896.9</v>
      </c>
      <c r="I46" s="46">
        <f t="shared" si="0"/>
        <v>-125</v>
      </c>
      <c r="J46" s="22">
        <f t="shared" si="1"/>
        <v>1360.9</v>
      </c>
      <c r="K46" s="49">
        <f t="shared" si="2"/>
        <v>411</v>
      </c>
      <c r="L46" s="47"/>
      <c r="M46" s="47"/>
      <c r="N46" s="47"/>
      <c r="O46" s="47"/>
      <c r="P46" s="50"/>
      <c r="Q46" s="47"/>
      <c r="R46" s="47"/>
      <c r="S46" s="20"/>
      <c r="T46" s="20"/>
    </row>
    <row r="47" spans="1:20" ht="15.75">
      <c r="A47" s="6" t="s">
        <v>40</v>
      </c>
      <c r="B47" s="25">
        <v>10</v>
      </c>
      <c r="C47" s="22">
        <f>'Для корректировки'!P47</f>
        <v>1117.1</v>
      </c>
      <c r="D47" s="45">
        <f>'МЗ-корректировка'!P47</f>
        <v>8.8</v>
      </c>
      <c r="E47" s="45">
        <f>'Общехоз.'!N49</f>
        <v>855.6</v>
      </c>
      <c r="F47" s="22">
        <v>0.8</v>
      </c>
      <c r="G47" s="22">
        <f t="shared" si="3"/>
        <v>1982.3</v>
      </c>
      <c r="H47" s="22">
        <v>1217.9</v>
      </c>
      <c r="I47" s="46">
        <f t="shared" si="0"/>
        <v>-100.80000000000018</v>
      </c>
      <c r="J47" s="22">
        <f t="shared" si="1"/>
        <v>858</v>
      </c>
      <c r="K47" s="49">
        <f t="shared" si="2"/>
        <v>259.0999999999999</v>
      </c>
      <c r="L47" s="47"/>
      <c r="M47" s="47"/>
      <c r="N47" s="47"/>
      <c r="O47" s="47"/>
      <c r="P47" s="50"/>
      <c r="Q47" s="47"/>
      <c r="R47" s="47"/>
      <c r="S47" s="20"/>
      <c r="T47" s="20"/>
    </row>
    <row r="48" spans="1:20" ht="15.75">
      <c r="A48" s="6" t="s">
        <v>41</v>
      </c>
      <c r="B48" s="25">
        <v>9</v>
      </c>
      <c r="C48" s="22">
        <f>'Для корректировки'!P48</f>
        <v>917.4</v>
      </c>
      <c r="D48" s="45">
        <f>'МЗ-корректировка'!P48</f>
        <v>4.8</v>
      </c>
      <c r="E48" s="45">
        <f>'Общехоз.'!N50</f>
        <v>739.5</v>
      </c>
      <c r="F48" s="22">
        <v>2.5</v>
      </c>
      <c r="G48" s="22">
        <f t="shared" si="3"/>
        <v>1664.1999999999998</v>
      </c>
      <c r="H48" s="22">
        <v>1004</v>
      </c>
      <c r="I48" s="46">
        <f t="shared" si="0"/>
        <v>-86.60000000000002</v>
      </c>
      <c r="J48" s="22">
        <f t="shared" si="1"/>
        <v>704.6</v>
      </c>
      <c r="K48" s="49">
        <f t="shared" si="2"/>
        <v>212.79999999999995</v>
      </c>
      <c r="L48" s="47"/>
      <c r="M48" s="47"/>
      <c r="N48" s="47"/>
      <c r="O48" s="47"/>
      <c r="P48" s="50"/>
      <c r="Q48" s="47"/>
      <c r="R48" s="47"/>
      <c r="S48" s="20"/>
      <c r="T48" s="20"/>
    </row>
    <row r="49" spans="1:20" ht="22.5" customHeight="1">
      <c r="A49" s="6" t="s">
        <v>42</v>
      </c>
      <c r="B49" s="25">
        <v>10</v>
      </c>
      <c r="C49" s="22">
        <f>'Для корректировки'!P49</f>
        <v>1073.1000000000001</v>
      </c>
      <c r="D49" s="45">
        <f>'МЗ-корректировка'!P49</f>
        <v>4.2</v>
      </c>
      <c r="E49" s="45">
        <f>'Общехоз.'!N51</f>
        <v>720.4</v>
      </c>
      <c r="F49" s="22">
        <v>8.6</v>
      </c>
      <c r="G49" s="22">
        <f t="shared" si="3"/>
        <v>1806.3000000000002</v>
      </c>
      <c r="H49" s="22">
        <v>1170.9</v>
      </c>
      <c r="I49" s="46">
        <f t="shared" si="0"/>
        <v>-97.79999999999995</v>
      </c>
      <c r="J49" s="22">
        <f t="shared" si="1"/>
        <v>824.2</v>
      </c>
      <c r="K49" s="49">
        <f t="shared" si="2"/>
        <v>248.9000000000001</v>
      </c>
      <c r="L49" s="47"/>
      <c r="M49" s="47"/>
      <c r="N49" s="47"/>
      <c r="O49" s="47"/>
      <c r="P49" s="50"/>
      <c r="Q49" s="47"/>
      <c r="R49" s="47"/>
      <c r="S49" s="104"/>
      <c r="T49" s="20"/>
    </row>
    <row r="50" spans="1:20" ht="15.75">
      <c r="A50" s="6" t="s">
        <v>23</v>
      </c>
      <c r="B50" s="25">
        <v>9</v>
      </c>
      <c r="C50" s="22">
        <f>'Для корректировки'!P50</f>
        <v>866.6</v>
      </c>
      <c r="D50" s="45">
        <f>'МЗ-корректировка'!P50</f>
        <v>4.2</v>
      </c>
      <c r="E50" s="45">
        <f>'Общехоз.'!N52</f>
        <v>540.7</v>
      </c>
      <c r="F50" s="22">
        <v>100.6</v>
      </c>
      <c r="G50" s="22">
        <f t="shared" si="3"/>
        <v>1512.1</v>
      </c>
      <c r="H50" s="22">
        <v>740.3</v>
      </c>
      <c r="I50" s="46">
        <f t="shared" si="0"/>
        <v>126.30000000000007</v>
      </c>
      <c r="J50" s="22">
        <f t="shared" si="1"/>
        <v>665.6</v>
      </c>
      <c r="K50" s="49">
        <f t="shared" si="2"/>
        <v>201</v>
      </c>
      <c r="L50" s="47"/>
      <c r="M50" s="47"/>
      <c r="N50" s="47"/>
      <c r="O50" s="47"/>
      <c r="P50" s="50"/>
      <c r="Q50" s="47"/>
      <c r="R50" s="47"/>
      <c r="S50" s="20"/>
      <c r="T50" s="20"/>
    </row>
    <row r="51" spans="1:20" ht="18" customHeight="1">
      <c r="A51" s="6" t="s">
        <v>43</v>
      </c>
      <c r="B51" s="25">
        <v>10</v>
      </c>
      <c r="C51" s="22">
        <f>'Для корректировки'!P51</f>
        <v>1129.2</v>
      </c>
      <c r="D51" s="45">
        <f>'МЗ-корректировка'!P51</f>
        <v>8.2</v>
      </c>
      <c r="E51" s="45">
        <f>'Общехоз.'!N53</f>
        <v>578.7</v>
      </c>
      <c r="F51" s="22">
        <v>0.8</v>
      </c>
      <c r="G51" s="22">
        <f t="shared" si="3"/>
        <v>1716.9</v>
      </c>
      <c r="H51" s="22">
        <v>1217</v>
      </c>
      <c r="I51" s="46">
        <f t="shared" si="0"/>
        <v>-87.79999999999995</v>
      </c>
      <c r="J51" s="22">
        <f t="shared" si="1"/>
        <v>867.3</v>
      </c>
      <c r="K51" s="49">
        <f t="shared" si="2"/>
        <v>261.9000000000001</v>
      </c>
      <c r="L51" s="47"/>
      <c r="M51" s="47"/>
      <c r="N51" s="47"/>
      <c r="O51" s="47"/>
      <c r="P51" s="50"/>
      <c r="Q51" s="47"/>
      <c r="R51" s="47"/>
      <c r="S51" s="20"/>
      <c r="T51" s="20"/>
    </row>
    <row r="52" spans="1:20" ht="34.5" customHeight="1">
      <c r="A52" s="7" t="s">
        <v>44</v>
      </c>
      <c r="B52" s="26">
        <v>9</v>
      </c>
      <c r="C52" s="22">
        <f>'Для корректировки'!P52</f>
        <v>901.6</v>
      </c>
      <c r="D52" s="45">
        <f>'МЗ-корректировка'!P52</f>
        <v>3</v>
      </c>
      <c r="E52" s="45">
        <f>'Общехоз.'!N54</f>
        <v>354.6</v>
      </c>
      <c r="F52" s="22">
        <v>0</v>
      </c>
      <c r="G52" s="22">
        <f t="shared" si="3"/>
        <v>1259.2</v>
      </c>
      <c r="H52" s="22">
        <v>986.1</v>
      </c>
      <c r="I52" s="46">
        <f t="shared" si="0"/>
        <v>-84.5</v>
      </c>
      <c r="J52" s="22">
        <f t="shared" si="1"/>
        <v>692.5</v>
      </c>
      <c r="K52" s="49">
        <f t="shared" si="2"/>
        <v>209.10000000000002</v>
      </c>
      <c r="L52" s="47"/>
      <c r="M52" s="47"/>
      <c r="N52" s="47"/>
      <c r="O52" s="47"/>
      <c r="P52" s="20"/>
      <c r="Q52" s="47"/>
      <c r="R52" s="47"/>
      <c r="S52" s="20"/>
      <c r="T52" s="20"/>
    </row>
    <row r="53" spans="1:20" s="8" customFormat="1" ht="31.5">
      <c r="A53" s="182" t="s">
        <v>45</v>
      </c>
      <c r="B53" s="183">
        <v>10</v>
      </c>
      <c r="C53" s="184">
        <f>'Для корректировки'!P53</f>
        <v>1026</v>
      </c>
      <c r="D53" s="185">
        <f>'МЗ-корректировка'!P53</f>
        <v>6.2</v>
      </c>
      <c r="E53" s="185">
        <f>'Общехоз.'!N55</f>
        <v>502.6</v>
      </c>
      <c r="F53" s="184">
        <v>4.4</v>
      </c>
      <c r="G53" s="184">
        <f t="shared" si="3"/>
        <v>1539.2000000000003</v>
      </c>
      <c r="H53" s="22">
        <v>1113.8</v>
      </c>
      <c r="I53" s="46">
        <f t="shared" si="0"/>
        <v>-87.79999999999995</v>
      </c>
      <c r="J53" s="22">
        <f t="shared" si="1"/>
        <v>788</v>
      </c>
      <c r="K53" s="49">
        <f t="shared" si="2"/>
        <v>238</v>
      </c>
      <c r="L53" s="47"/>
      <c r="M53" s="47"/>
      <c r="N53" s="47"/>
      <c r="O53" s="51"/>
      <c r="P53" s="53"/>
      <c r="Q53" s="47"/>
      <c r="R53" s="47"/>
      <c r="S53" s="53"/>
      <c r="T53" s="53"/>
    </row>
    <row r="54" spans="1:20" ht="47.25">
      <c r="A54" s="173" t="s">
        <v>50</v>
      </c>
      <c r="B54" s="186"/>
      <c r="C54" s="22">
        <f aca="true" t="shared" si="4" ref="C54:K54">SUM(C6:C53)</f>
        <v>193887.6000000001</v>
      </c>
      <c r="D54" s="22">
        <f t="shared" si="4"/>
        <v>1829.8999999999996</v>
      </c>
      <c r="E54" s="22">
        <f t="shared" si="4"/>
        <v>59267.69999999999</v>
      </c>
      <c r="F54" s="22">
        <f t="shared" si="4"/>
        <v>5383.400000000001</v>
      </c>
      <c r="G54" s="22">
        <f t="shared" si="4"/>
        <v>260368.60000000006</v>
      </c>
      <c r="H54" s="22">
        <f t="shared" si="4"/>
        <v>177756.99999999997</v>
      </c>
      <c r="I54" s="22">
        <f t="shared" si="4"/>
        <v>-12713.299999999997</v>
      </c>
      <c r="J54" s="22">
        <f t="shared" si="4"/>
        <v>126761.70000000006</v>
      </c>
      <c r="K54" s="22">
        <f t="shared" si="4"/>
        <v>38282.000000000015</v>
      </c>
      <c r="L54" s="54"/>
      <c r="M54" s="54"/>
      <c r="N54" s="54"/>
      <c r="O54" s="47"/>
      <c r="P54" s="47"/>
      <c r="Q54" s="47"/>
      <c r="R54" s="47"/>
      <c r="S54" s="20"/>
      <c r="T54" s="20"/>
    </row>
    <row r="55" spans="1:20" ht="18" customHeight="1">
      <c r="A55" s="172"/>
      <c r="B55" s="172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5.75">
      <c r="A56" s="10"/>
      <c r="B56" s="10"/>
      <c r="C56" s="30">
        <f>C54+D54</f>
        <v>195717.5000000001</v>
      </c>
      <c r="J56" s="3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5.75">
      <c r="A57" s="10"/>
      <c r="B57" s="10"/>
      <c r="D57" s="30"/>
      <c r="G57" s="30"/>
      <c r="H57" s="3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5.75">
      <c r="A58" s="10"/>
      <c r="B58" s="10"/>
      <c r="G58" s="3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5.75">
      <c r="A59" s="10"/>
      <c r="B59" s="1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5.75">
      <c r="A60" s="15"/>
      <c r="B60" s="15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>
      <c r="A61" s="15"/>
      <c r="B61" s="15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6.5" customHeight="1">
      <c r="A62" s="10"/>
      <c r="B62" s="1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>
      <c r="A63" s="10"/>
      <c r="B63" s="1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>
      <c r="A64" s="10"/>
      <c r="B64" s="1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>
      <c r="A65" s="10"/>
      <c r="B65" s="1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>
      <c r="A66" s="10"/>
      <c r="B66" s="1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>
      <c r="A67" s="10"/>
      <c r="B67" s="1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>
      <c r="A68" s="16"/>
      <c r="B68" s="16"/>
      <c r="L68" s="20"/>
      <c r="M68" s="20"/>
      <c r="N68" s="20"/>
      <c r="O68" s="20"/>
      <c r="P68" s="20"/>
      <c r="Q68" s="20"/>
      <c r="R68" s="20"/>
      <c r="S68" s="20"/>
      <c r="T68" s="20"/>
    </row>
    <row r="69" spans="1:20" s="13" customFormat="1" ht="16.5" customHeight="1">
      <c r="A69" s="188"/>
      <c r="B69" s="188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5.75">
      <c r="A70" s="15"/>
      <c r="B70" s="15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>
      <c r="A71" s="15"/>
      <c r="B71" s="15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5.75">
      <c r="A72" s="15"/>
      <c r="B72" s="15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5.75">
      <c r="A73" s="15"/>
      <c r="B73" s="15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8" customHeight="1">
      <c r="A74" s="15"/>
      <c r="B74" s="15"/>
      <c r="L74" s="20"/>
      <c r="M74" s="20"/>
      <c r="N74" s="20"/>
      <c r="O74" s="20"/>
      <c r="P74" s="20"/>
      <c r="Q74" s="20"/>
      <c r="R74" s="20"/>
      <c r="S74" s="20"/>
      <c r="T74" s="20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2" ht="15.75">
      <c r="A78" s="15"/>
      <c r="B78" s="15"/>
    </row>
    <row r="79" spans="1:2" ht="15.75">
      <c r="A79" s="15"/>
      <c r="B79" s="15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0"/>
      <c r="B110" s="10"/>
    </row>
    <row r="111" spans="1:2" ht="15.75">
      <c r="A111" s="10"/>
      <c r="B111" s="10"/>
    </row>
    <row r="112" spans="1:2" ht="15.75">
      <c r="A112" s="10"/>
      <c r="B112" s="10"/>
    </row>
    <row r="113" spans="1:2" ht="15.75">
      <c r="A113" s="10"/>
      <c r="B113" s="10"/>
    </row>
    <row r="114" spans="1:2" ht="15.75">
      <c r="A114" s="18"/>
      <c r="B114" s="18"/>
    </row>
    <row r="115" spans="1:2" ht="15.75">
      <c r="A115" s="18"/>
      <c r="B115" s="18"/>
    </row>
    <row r="116" spans="1:2" ht="15.75">
      <c r="A116" s="12"/>
      <c r="B116" s="12"/>
    </row>
  </sheetData>
  <sheetProtection/>
  <mergeCells count="20">
    <mergeCell ref="O4:O5"/>
    <mergeCell ref="J4:K4"/>
    <mergeCell ref="A1:B1"/>
    <mergeCell ref="A4:A5"/>
    <mergeCell ref="B4:B5"/>
    <mergeCell ref="C4:C5"/>
    <mergeCell ref="D4:D5"/>
    <mergeCell ref="G4:G5"/>
    <mergeCell ref="E4:E5"/>
    <mergeCell ref="F4:F5"/>
    <mergeCell ref="D3:I3"/>
    <mergeCell ref="P4:P5"/>
    <mergeCell ref="Q4:Q5"/>
    <mergeCell ref="R4:R5"/>
    <mergeCell ref="S4:S5"/>
    <mergeCell ref="A69:B69"/>
    <mergeCell ref="H4:H5"/>
    <mergeCell ref="L4:L5"/>
    <mergeCell ref="M4:M5"/>
    <mergeCell ref="N4:N5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="70" zoomScaleNormal="71" zoomScaleSheetLayoutView="70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:G6"/>
    </sheetView>
  </sheetViews>
  <sheetFormatPr defaultColWidth="9.140625" defaultRowHeight="12.75"/>
  <cols>
    <col min="1" max="1" width="9.00390625" style="86" customWidth="1"/>
    <col min="2" max="3" width="30.8515625" style="86" customWidth="1"/>
    <col min="4" max="4" width="24.00390625" style="86" customWidth="1"/>
    <col min="5" max="5" width="17.28125" style="86" customWidth="1"/>
    <col min="6" max="6" width="26.421875" style="86" customWidth="1"/>
    <col min="7" max="7" width="20.00390625" style="86" customWidth="1"/>
    <col min="8" max="9" width="24.421875" style="87" customWidth="1"/>
    <col min="10" max="10" width="17.140625" style="87" customWidth="1"/>
    <col min="11" max="11" width="22.8515625" style="87" customWidth="1"/>
    <col min="12" max="13" width="20.421875" style="59" customWidth="1"/>
    <col min="14" max="14" width="18.8515625" style="59" customWidth="1"/>
    <col min="15" max="15" width="12.140625" style="59" hidden="1" customWidth="1"/>
    <col min="16" max="16" width="9.140625" style="59" hidden="1" customWidth="1"/>
    <col min="17" max="17" width="9.57421875" style="59" bestFit="1" customWidth="1"/>
    <col min="18" max="18" width="12.140625" style="59" customWidth="1"/>
    <col min="19" max="16384" width="9.140625" style="59" customWidth="1"/>
  </cols>
  <sheetData>
    <row r="1" spans="1:11" ht="15.75">
      <c r="A1" s="125"/>
      <c r="B1" s="125"/>
      <c r="C1" s="125"/>
      <c r="D1" s="125"/>
      <c r="E1" s="125"/>
      <c r="F1" s="125"/>
      <c r="G1" s="226" t="s">
        <v>84</v>
      </c>
      <c r="H1" s="226"/>
      <c r="K1" s="125"/>
    </row>
    <row r="2" spans="1:11" ht="18.75" customHeight="1">
      <c r="A2" s="60"/>
      <c r="B2" s="60"/>
      <c r="C2" s="60"/>
      <c r="D2" s="60"/>
      <c r="E2" s="60"/>
      <c r="F2" s="187" t="s">
        <v>95</v>
      </c>
      <c r="G2" s="187"/>
      <c r="H2" s="187"/>
      <c r="I2" s="175"/>
      <c r="J2" s="175"/>
      <c r="K2" s="175"/>
    </row>
    <row r="3" spans="1:21" ht="27.75" customHeight="1">
      <c r="A3" s="227" t="s">
        <v>67</v>
      </c>
      <c r="B3" s="230" t="s">
        <v>97</v>
      </c>
      <c r="C3" s="210" t="s">
        <v>68</v>
      </c>
      <c r="D3" s="211"/>
      <c r="E3" s="211"/>
      <c r="F3" s="234"/>
      <c r="G3" s="212" t="s">
        <v>68</v>
      </c>
      <c r="H3" s="212"/>
      <c r="I3" s="212"/>
      <c r="J3" s="212"/>
      <c r="K3" s="210" t="s">
        <v>68</v>
      </c>
      <c r="L3" s="211"/>
      <c r="M3" s="211"/>
      <c r="N3" s="211"/>
      <c r="O3" s="61"/>
      <c r="P3" s="61"/>
      <c r="Q3" s="62"/>
      <c r="R3" s="62"/>
      <c r="S3" s="62"/>
      <c r="T3" s="62"/>
      <c r="U3" s="62"/>
    </row>
    <row r="4" spans="1:21" ht="36" customHeight="1">
      <c r="A4" s="228"/>
      <c r="B4" s="231"/>
      <c r="C4" s="210" t="s">
        <v>0</v>
      </c>
      <c r="D4" s="211"/>
      <c r="E4" s="211"/>
      <c r="F4" s="234"/>
      <c r="G4" s="210" t="s">
        <v>0</v>
      </c>
      <c r="H4" s="211"/>
      <c r="I4" s="211"/>
      <c r="J4" s="211"/>
      <c r="K4" s="210" t="s">
        <v>0</v>
      </c>
      <c r="L4" s="211"/>
      <c r="M4" s="211"/>
      <c r="N4" s="211"/>
      <c r="O4" s="61"/>
      <c r="P4" s="61"/>
      <c r="Q4" s="62"/>
      <c r="R4" s="62"/>
      <c r="S4" s="62"/>
      <c r="T4" s="62"/>
      <c r="U4" s="62"/>
    </row>
    <row r="5" spans="1:21" ht="27.75" customHeight="1">
      <c r="A5" s="228"/>
      <c r="B5" s="231"/>
      <c r="C5" s="212" t="s">
        <v>69</v>
      </c>
      <c r="D5" s="106" t="s">
        <v>70</v>
      </c>
      <c r="E5" s="233" t="s">
        <v>71</v>
      </c>
      <c r="F5" s="191" t="s">
        <v>72</v>
      </c>
      <c r="G5" s="212" t="s">
        <v>81</v>
      </c>
      <c r="H5" s="210" t="s">
        <v>70</v>
      </c>
      <c r="I5" s="211"/>
      <c r="J5" s="212" t="s">
        <v>71</v>
      </c>
      <c r="K5" s="193" t="s">
        <v>72</v>
      </c>
      <c r="L5" s="212" t="s">
        <v>82</v>
      </c>
      <c r="M5" s="212" t="s">
        <v>83</v>
      </c>
      <c r="N5" s="212" t="s">
        <v>73</v>
      </c>
      <c r="O5" s="62"/>
      <c r="P5" s="62"/>
      <c r="Q5" s="62"/>
      <c r="R5" s="62"/>
      <c r="S5" s="62"/>
      <c r="T5" s="62"/>
      <c r="U5" s="62"/>
    </row>
    <row r="6" spans="1:14" ht="177" customHeight="1">
      <c r="A6" s="229"/>
      <c r="B6" s="232"/>
      <c r="C6" s="212"/>
      <c r="D6" s="107" t="s">
        <v>53</v>
      </c>
      <c r="E6" s="212"/>
      <c r="F6" s="193"/>
      <c r="G6" s="212"/>
      <c r="H6" s="107" t="s">
        <v>54</v>
      </c>
      <c r="I6" s="107" t="s">
        <v>55</v>
      </c>
      <c r="J6" s="212"/>
      <c r="K6" s="193"/>
      <c r="L6" s="212"/>
      <c r="M6" s="212"/>
      <c r="N6" s="212"/>
    </row>
    <row r="7" spans="1:14" s="64" customFormat="1" ht="17.2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</row>
    <row r="8" spans="1:18" s="68" customFormat="1" ht="15.75">
      <c r="A8" s="65">
        <v>1</v>
      </c>
      <c r="B8" s="66" t="s">
        <v>1</v>
      </c>
      <c r="C8" s="88">
        <v>14047</v>
      </c>
      <c r="D8" s="162"/>
      <c r="E8" s="89">
        <v>6556</v>
      </c>
      <c r="F8" s="90">
        <f aca="true" t="shared" si="0" ref="F8:F55">ROUND(C8/E8,3)</f>
        <v>2.143</v>
      </c>
      <c r="G8" s="91">
        <f aca="true" t="shared" si="1" ref="G8:G55">ROUND((D8)*E8*F8/1000,1)</f>
        <v>0</v>
      </c>
      <c r="H8" s="92">
        <v>89</v>
      </c>
      <c r="I8" s="152"/>
      <c r="J8" s="89">
        <f>E8</f>
        <v>6556</v>
      </c>
      <c r="K8" s="90">
        <f aca="true" t="shared" si="2" ref="K8:K55">F8</f>
        <v>2.143</v>
      </c>
      <c r="L8" s="67">
        <f>ROUND((H8)*J8/1000*K8,1)-0.2</f>
        <v>1250.2</v>
      </c>
      <c r="M8" s="67">
        <f aca="true" t="shared" si="3" ref="M8:M55">ROUND((I8)*J8*K8/1000,1)</f>
        <v>0</v>
      </c>
      <c r="N8" s="67">
        <f>G8+L8+M8</f>
        <v>1250.2</v>
      </c>
      <c r="O8" s="123">
        <v>1126.8000000000002</v>
      </c>
      <c r="P8" s="68">
        <f>O8-N8</f>
        <v>-123.39999999999986</v>
      </c>
      <c r="Q8" s="68">
        <f>'[1]2019'!$BC4</f>
        <v>1250.2</v>
      </c>
      <c r="R8" s="68">
        <f>Q8-N8</f>
        <v>0</v>
      </c>
    </row>
    <row r="9" spans="1:18" s="68" customFormat="1" ht="15.75">
      <c r="A9" s="65">
        <v>2</v>
      </c>
      <c r="B9" s="66" t="s">
        <v>89</v>
      </c>
      <c r="C9" s="88">
        <v>18678</v>
      </c>
      <c r="D9" s="162">
        <v>108</v>
      </c>
      <c r="E9" s="89">
        <v>6556</v>
      </c>
      <c r="F9" s="90">
        <f t="shared" si="0"/>
        <v>2.849</v>
      </c>
      <c r="G9" s="91">
        <f t="shared" si="1"/>
        <v>2017.2</v>
      </c>
      <c r="H9" s="92">
        <v>70</v>
      </c>
      <c r="I9" s="152">
        <v>30</v>
      </c>
      <c r="J9" s="89">
        <f aca="true" t="shared" si="4" ref="J9:J55">E9</f>
        <v>6556</v>
      </c>
      <c r="K9" s="90">
        <f t="shared" si="2"/>
        <v>2.849</v>
      </c>
      <c r="L9" s="67">
        <f>ROUND((H9)*J9/1000*K9,1)+0.1</f>
        <v>1307.6</v>
      </c>
      <c r="M9" s="67">
        <f t="shared" si="3"/>
        <v>560.3</v>
      </c>
      <c r="N9" s="67">
        <f aca="true" t="shared" si="5" ref="N9:N55">G9+L9+M9</f>
        <v>3885.1000000000004</v>
      </c>
      <c r="O9" s="123"/>
      <c r="Q9" s="68">
        <f>'[1]2019'!$BC5</f>
        <v>3885.1</v>
      </c>
      <c r="R9" s="68">
        <f aca="true" t="shared" si="6" ref="R9:R55">Q9-N9</f>
        <v>0</v>
      </c>
    </row>
    <row r="10" spans="1:18" s="68" customFormat="1" ht="15.75">
      <c r="A10" s="65">
        <v>3</v>
      </c>
      <c r="B10" s="66" t="s">
        <v>2</v>
      </c>
      <c r="C10" s="93">
        <v>11893</v>
      </c>
      <c r="D10" s="163">
        <v>32</v>
      </c>
      <c r="E10" s="89">
        <v>6556</v>
      </c>
      <c r="F10" s="90">
        <f t="shared" si="0"/>
        <v>1.814</v>
      </c>
      <c r="G10" s="91">
        <f t="shared" si="1"/>
        <v>380.6</v>
      </c>
      <c r="H10" s="94">
        <v>73</v>
      </c>
      <c r="I10" s="94"/>
      <c r="J10" s="89">
        <f t="shared" si="4"/>
        <v>6556</v>
      </c>
      <c r="K10" s="90">
        <f t="shared" si="2"/>
        <v>1.814</v>
      </c>
      <c r="L10" s="67">
        <f aca="true" t="shared" si="7" ref="L10:L55">ROUND((H10)*J10/1000*K10,1)</f>
        <v>868.2</v>
      </c>
      <c r="M10" s="67">
        <f t="shared" si="3"/>
        <v>0</v>
      </c>
      <c r="N10" s="67">
        <f t="shared" si="5"/>
        <v>1248.8000000000002</v>
      </c>
      <c r="O10" s="123">
        <v>1341.2</v>
      </c>
      <c r="P10" s="68">
        <f aca="true" t="shared" si="8" ref="P10:P55">O10-N10</f>
        <v>92.39999999999986</v>
      </c>
      <c r="Q10" s="68">
        <f>'[1]2019'!$BC6</f>
        <v>1248.8</v>
      </c>
      <c r="R10" s="68">
        <f t="shared" si="6"/>
        <v>0</v>
      </c>
    </row>
    <row r="11" spans="1:18" s="68" customFormat="1" ht="15.75">
      <c r="A11" s="65">
        <v>4</v>
      </c>
      <c r="B11" s="66" t="s">
        <v>90</v>
      </c>
      <c r="C11" s="93">
        <v>29729</v>
      </c>
      <c r="D11" s="163">
        <v>83</v>
      </c>
      <c r="E11" s="89">
        <v>6556</v>
      </c>
      <c r="F11" s="90">
        <f t="shared" si="0"/>
        <v>4.535</v>
      </c>
      <c r="G11" s="91">
        <f t="shared" si="1"/>
        <v>2467.7</v>
      </c>
      <c r="H11" s="94">
        <v>37</v>
      </c>
      <c r="I11" s="94"/>
      <c r="J11" s="89">
        <f t="shared" si="4"/>
        <v>6556</v>
      </c>
      <c r="K11" s="90">
        <f t="shared" si="2"/>
        <v>4.535</v>
      </c>
      <c r="L11" s="67">
        <f>ROUND((H11)*J11/1000*K11,1)-0.3</f>
        <v>1099.8</v>
      </c>
      <c r="M11" s="67">
        <f t="shared" si="3"/>
        <v>0</v>
      </c>
      <c r="N11" s="67">
        <f t="shared" si="5"/>
        <v>3567.5</v>
      </c>
      <c r="O11" s="123"/>
      <c r="Q11" s="68">
        <f>'[1]2019'!$BC7</f>
        <v>3567.5</v>
      </c>
      <c r="R11" s="68">
        <f t="shared" si="6"/>
        <v>0</v>
      </c>
    </row>
    <row r="12" spans="1:18" s="68" customFormat="1" ht="15.75">
      <c r="A12" s="65">
        <v>5</v>
      </c>
      <c r="B12" s="66" t="s">
        <v>91</v>
      </c>
      <c r="C12" s="93">
        <v>19508</v>
      </c>
      <c r="D12" s="163">
        <v>40</v>
      </c>
      <c r="E12" s="89">
        <v>6556</v>
      </c>
      <c r="F12" s="90">
        <f t="shared" si="0"/>
        <v>2.976</v>
      </c>
      <c r="G12" s="91">
        <f t="shared" si="1"/>
        <v>780.4</v>
      </c>
      <c r="H12" s="94">
        <v>55</v>
      </c>
      <c r="I12" s="151">
        <v>11</v>
      </c>
      <c r="J12" s="89">
        <f t="shared" si="4"/>
        <v>6556</v>
      </c>
      <c r="K12" s="90">
        <f t="shared" si="2"/>
        <v>2.976</v>
      </c>
      <c r="L12" s="67">
        <f>ROUND((H12)*J12/1000*K12,1)-0.3</f>
        <v>1072.8</v>
      </c>
      <c r="M12" s="67">
        <f t="shared" si="3"/>
        <v>214.6</v>
      </c>
      <c r="N12" s="67">
        <f t="shared" si="5"/>
        <v>2067.7999999999997</v>
      </c>
      <c r="O12" s="123"/>
      <c r="Q12" s="68">
        <f>'[1]2019'!$BC8</f>
        <v>2067.8</v>
      </c>
      <c r="R12" s="68">
        <f t="shared" si="6"/>
        <v>0</v>
      </c>
    </row>
    <row r="13" spans="1:18" s="68" customFormat="1" ht="15.75">
      <c r="A13" s="65">
        <v>6</v>
      </c>
      <c r="B13" s="66" t="s">
        <v>3</v>
      </c>
      <c r="C13" s="93">
        <v>10564</v>
      </c>
      <c r="D13" s="163">
        <v>40</v>
      </c>
      <c r="E13" s="89">
        <v>6556</v>
      </c>
      <c r="F13" s="90">
        <f t="shared" si="0"/>
        <v>1.611</v>
      </c>
      <c r="G13" s="91">
        <f t="shared" si="1"/>
        <v>422.5</v>
      </c>
      <c r="H13" s="94">
        <v>95</v>
      </c>
      <c r="I13" s="151"/>
      <c r="J13" s="89">
        <f t="shared" si="4"/>
        <v>6556</v>
      </c>
      <c r="K13" s="90">
        <f t="shared" si="2"/>
        <v>1.611</v>
      </c>
      <c r="L13" s="67">
        <f>ROUND((H13)*J13/1000*K13,1)+0.3</f>
        <v>1003.6999999999999</v>
      </c>
      <c r="M13" s="67">
        <f t="shared" si="3"/>
        <v>0</v>
      </c>
      <c r="N13" s="67">
        <f t="shared" si="5"/>
        <v>1426.1999999999998</v>
      </c>
      <c r="O13" s="123">
        <v>1521.2</v>
      </c>
      <c r="P13" s="68">
        <f t="shared" si="8"/>
        <v>95.00000000000023</v>
      </c>
      <c r="Q13" s="68">
        <f>'[1]2019'!$BC9</f>
        <v>1426.2</v>
      </c>
      <c r="R13" s="68">
        <f t="shared" si="6"/>
        <v>0</v>
      </c>
    </row>
    <row r="14" spans="1:18" s="68" customFormat="1" ht="15.75">
      <c r="A14" s="65">
        <v>7</v>
      </c>
      <c r="B14" s="66" t="s">
        <v>4</v>
      </c>
      <c r="C14" s="93">
        <v>10511</v>
      </c>
      <c r="D14" s="163">
        <v>41</v>
      </c>
      <c r="E14" s="89">
        <v>6556</v>
      </c>
      <c r="F14" s="90">
        <f t="shared" si="0"/>
        <v>1.603</v>
      </c>
      <c r="G14" s="91">
        <f t="shared" si="1"/>
        <v>430.9</v>
      </c>
      <c r="H14" s="94">
        <v>152</v>
      </c>
      <c r="I14" s="151">
        <v>42</v>
      </c>
      <c r="J14" s="89">
        <f t="shared" si="4"/>
        <v>6556</v>
      </c>
      <c r="K14" s="90">
        <f t="shared" si="2"/>
        <v>1.603</v>
      </c>
      <c r="L14" s="67">
        <f>ROUND((H14)*J14/1000*K14,1)+0.5</f>
        <v>1597.9</v>
      </c>
      <c r="M14" s="67">
        <f t="shared" si="3"/>
        <v>441.4</v>
      </c>
      <c r="N14" s="67">
        <f t="shared" si="5"/>
        <v>2470.2000000000003</v>
      </c>
      <c r="O14" s="123">
        <v>2316.6</v>
      </c>
      <c r="P14" s="68">
        <f t="shared" si="8"/>
        <v>-153.60000000000036</v>
      </c>
      <c r="Q14" s="68">
        <f>'[1]2019'!$BC10</f>
        <v>2470.2</v>
      </c>
      <c r="R14" s="68">
        <f t="shared" si="6"/>
        <v>0</v>
      </c>
    </row>
    <row r="15" spans="1:18" s="68" customFormat="1" ht="15.75">
      <c r="A15" s="65">
        <v>8</v>
      </c>
      <c r="B15" s="66" t="s">
        <v>5</v>
      </c>
      <c r="C15" s="93">
        <v>10686</v>
      </c>
      <c r="D15" s="163">
        <v>23</v>
      </c>
      <c r="E15" s="89">
        <v>6556</v>
      </c>
      <c r="F15" s="90">
        <f t="shared" si="0"/>
        <v>1.63</v>
      </c>
      <c r="G15" s="91">
        <f t="shared" si="1"/>
        <v>245.8</v>
      </c>
      <c r="H15" s="94">
        <v>171</v>
      </c>
      <c r="I15" s="151">
        <v>24</v>
      </c>
      <c r="J15" s="89">
        <f t="shared" si="4"/>
        <v>6556</v>
      </c>
      <c r="K15" s="90">
        <f t="shared" si="2"/>
        <v>1.63</v>
      </c>
      <c r="L15" s="67">
        <f>ROUND((H15)*J15/1000*K15,1)-0.1</f>
        <v>1827.3000000000002</v>
      </c>
      <c r="M15" s="67">
        <f t="shared" si="3"/>
        <v>256.5</v>
      </c>
      <c r="N15" s="67">
        <f t="shared" si="5"/>
        <v>2329.6000000000004</v>
      </c>
      <c r="O15" s="123">
        <v>2282.8</v>
      </c>
      <c r="P15" s="68">
        <f t="shared" si="8"/>
        <v>-46.80000000000018</v>
      </c>
      <c r="Q15" s="68">
        <f>'[1]2019'!$BC11</f>
        <v>2329.6</v>
      </c>
      <c r="R15" s="68">
        <f t="shared" si="6"/>
        <v>0</v>
      </c>
    </row>
    <row r="16" spans="1:18" s="68" customFormat="1" ht="15.75">
      <c r="A16" s="65">
        <v>9</v>
      </c>
      <c r="B16" s="66" t="s">
        <v>6</v>
      </c>
      <c r="C16" s="93">
        <v>13320</v>
      </c>
      <c r="D16" s="163"/>
      <c r="E16" s="89">
        <v>6556</v>
      </c>
      <c r="F16" s="90">
        <f t="shared" si="0"/>
        <v>2.032</v>
      </c>
      <c r="G16" s="91">
        <f t="shared" si="1"/>
        <v>0</v>
      </c>
      <c r="H16" s="94">
        <v>112</v>
      </c>
      <c r="I16" s="94"/>
      <c r="J16" s="89">
        <f t="shared" si="4"/>
        <v>6556</v>
      </c>
      <c r="K16" s="90">
        <f t="shared" si="2"/>
        <v>2.032</v>
      </c>
      <c r="L16" s="67">
        <f>ROUND((H16)*J16/1000*K16,1)-0.2</f>
        <v>1491.8</v>
      </c>
      <c r="M16" s="67">
        <f t="shared" si="3"/>
        <v>0</v>
      </c>
      <c r="N16" s="67">
        <f t="shared" si="5"/>
        <v>1491.8</v>
      </c>
      <c r="O16" s="123">
        <v>1462.1</v>
      </c>
      <c r="P16" s="68">
        <f t="shared" si="8"/>
        <v>-29.700000000000045</v>
      </c>
      <c r="Q16" s="68">
        <f>'[1]2019'!$BC12</f>
        <v>1491.8</v>
      </c>
      <c r="R16" s="68">
        <f t="shared" si="6"/>
        <v>0</v>
      </c>
    </row>
    <row r="17" spans="1:18" s="68" customFormat="1" ht="15.75">
      <c r="A17" s="65">
        <v>10</v>
      </c>
      <c r="B17" s="66" t="s">
        <v>7</v>
      </c>
      <c r="C17" s="95">
        <v>9771</v>
      </c>
      <c r="D17" s="164">
        <v>26</v>
      </c>
      <c r="E17" s="89">
        <v>6556</v>
      </c>
      <c r="F17" s="90">
        <f t="shared" si="0"/>
        <v>1.49</v>
      </c>
      <c r="G17" s="91">
        <f t="shared" si="1"/>
        <v>254</v>
      </c>
      <c r="H17" s="94">
        <v>182</v>
      </c>
      <c r="I17" s="151">
        <v>47</v>
      </c>
      <c r="J17" s="89">
        <f t="shared" si="4"/>
        <v>6556</v>
      </c>
      <c r="K17" s="90">
        <f t="shared" si="2"/>
        <v>1.49</v>
      </c>
      <c r="L17" s="67">
        <f>ROUND((H17)*J17/1000*K17,1)+0.7</f>
        <v>1778.6000000000001</v>
      </c>
      <c r="M17" s="67">
        <f t="shared" si="3"/>
        <v>459.1</v>
      </c>
      <c r="N17" s="67">
        <f t="shared" si="5"/>
        <v>2491.7000000000003</v>
      </c>
      <c r="O17" s="123">
        <v>2285.4000000000005</v>
      </c>
      <c r="P17" s="68">
        <f t="shared" si="8"/>
        <v>-206.29999999999973</v>
      </c>
      <c r="Q17" s="68">
        <f>'[1]2019'!$BC13</f>
        <v>2491.7</v>
      </c>
      <c r="R17" s="68">
        <f t="shared" si="6"/>
        <v>0</v>
      </c>
    </row>
    <row r="18" spans="1:18" s="68" customFormat="1" ht="15.75">
      <c r="A18" s="65">
        <v>11</v>
      </c>
      <c r="B18" s="66" t="s">
        <v>8</v>
      </c>
      <c r="C18" s="93">
        <v>8321</v>
      </c>
      <c r="D18" s="163">
        <v>40</v>
      </c>
      <c r="E18" s="89">
        <v>6556</v>
      </c>
      <c r="F18" s="90">
        <f t="shared" si="0"/>
        <v>1.269</v>
      </c>
      <c r="G18" s="91">
        <f t="shared" si="1"/>
        <v>332.8</v>
      </c>
      <c r="H18" s="94">
        <v>185</v>
      </c>
      <c r="I18" s="151">
        <v>45</v>
      </c>
      <c r="J18" s="89">
        <f t="shared" si="4"/>
        <v>6556</v>
      </c>
      <c r="K18" s="90">
        <f t="shared" si="2"/>
        <v>1.269</v>
      </c>
      <c r="L18" s="67">
        <f>ROUND((H18)*J18/1000*K18,1)+0.3</f>
        <v>1539.3999999999999</v>
      </c>
      <c r="M18" s="67">
        <f t="shared" si="3"/>
        <v>374.4</v>
      </c>
      <c r="N18" s="67">
        <f t="shared" si="5"/>
        <v>2246.6</v>
      </c>
      <c r="O18" s="123">
        <v>2154.6</v>
      </c>
      <c r="P18" s="68">
        <f t="shared" si="8"/>
        <v>-92</v>
      </c>
      <c r="Q18" s="68">
        <f>'[1]2019'!$BC14</f>
        <v>2246.6</v>
      </c>
      <c r="R18" s="68">
        <f t="shared" si="6"/>
        <v>0</v>
      </c>
    </row>
    <row r="19" spans="1:18" s="68" customFormat="1" ht="15.75">
      <c r="A19" s="65">
        <v>12</v>
      </c>
      <c r="B19" s="66" t="s">
        <v>9</v>
      </c>
      <c r="C19" s="93">
        <v>11757</v>
      </c>
      <c r="D19" s="163">
        <v>21</v>
      </c>
      <c r="E19" s="89">
        <v>6556</v>
      </c>
      <c r="F19" s="90">
        <f t="shared" si="0"/>
        <v>1.793</v>
      </c>
      <c r="G19" s="91">
        <f t="shared" si="1"/>
        <v>246.9</v>
      </c>
      <c r="H19" s="94">
        <v>155</v>
      </c>
      <c r="I19" s="151">
        <v>30</v>
      </c>
      <c r="J19" s="89">
        <f t="shared" si="4"/>
        <v>6556</v>
      </c>
      <c r="K19" s="90">
        <f t="shared" si="2"/>
        <v>1.793</v>
      </c>
      <c r="L19" s="67">
        <f>ROUND((H19)*J19/1000*K19,1)+0.5</f>
        <v>1822.5</v>
      </c>
      <c r="M19" s="67">
        <f t="shared" si="3"/>
        <v>352.6</v>
      </c>
      <c r="N19" s="67">
        <f t="shared" si="5"/>
        <v>2422</v>
      </c>
      <c r="O19" s="123">
        <v>2765.8</v>
      </c>
      <c r="P19" s="68">
        <f t="shared" si="8"/>
        <v>343.8000000000002</v>
      </c>
      <c r="Q19" s="68">
        <f>'[1]2019'!$BC15</f>
        <v>2422</v>
      </c>
      <c r="R19" s="68">
        <f t="shared" si="6"/>
        <v>0</v>
      </c>
    </row>
    <row r="20" spans="1:18" s="68" customFormat="1" ht="15.75">
      <c r="A20" s="65">
        <v>13</v>
      </c>
      <c r="B20" s="66" t="s">
        <v>10</v>
      </c>
      <c r="C20" s="93">
        <v>11311</v>
      </c>
      <c r="D20" s="163">
        <v>39</v>
      </c>
      <c r="E20" s="89">
        <v>6556</v>
      </c>
      <c r="F20" s="90">
        <f t="shared" si="0"/>
        <v>1.725</v>
      </c>
      <c r="G20" s="91">
        <f t="shared" si="1"/>
        <v>441.1</v>
      </c>
      <c r="H20" s="94">
        <v>146</v>
      </c>
      <c r="I20" s="151">
        <v>30</v>
      </c>
      <c r="J20" s="89">
        <f t="shared" si="4"/>
        <v>6556</v>
      </c>
      <c r="K20" s="90">
        <f t="shared" si="2"/>
        <v>1.725</v>
      </c>
      <c r="L20" s="67">
        <f>ROUND((H20)*J20/1000*K20,1)+0.4</f>
        <v>1651.5</v>
      </c>
      <c r="M20" s="67">
        <f t="shared" si="3"/>
        <v>339.3</v>
      </c>
      <c r="N20" s="67">
        <f t="shared" si="5"/>
        <v>2431.9</v>
      </c>
      <c r="O20" s="123">
        <v>2443.1</v>
      </c>
      <c r="P20" s="68">
        <f t="shared" si="8"/>
        <v>11.199999999999818</v>
      </c>
      <c r="Q20" s="68">
        <f>'[1]2019'!$BC16</f>
        <v>2431.9</v>
      </c>
      <c r="R20" s="68">
        <f t="shared" si="6"/>
        <v>0</v>
      </c>
    </row>
    <row r="21" spans="1:18" s="68" customFormat="1" ht="15.75">
      <c r="A21" s="65">
        <v>14</v>
      </c>
      <c r="B21" s="69" t="s">
        <v>11</v>
      </c>
      <c r="C21" s="96">
        <v>22944</v>
      </c>
      <c r="D21" s="165">
        <v>24</v>
      </c>
      <c r="E21" s="89">
        <v>6556</v>
      </c>
      <c r="F21" s="90">
        <f t="shared" si="0"/>
        <v>3.5</v>
      </c>
      <c r="G21" s="91">
        <f t="shared" si="1"/>
        <v>550.7</v>
      </c>
      <c r="H21" s="97">
        <v>48</v>
      </c>
      <c r="I21" s="124">
        <v>15</v>
      </c>
      <c r="J21" s="89">
        <f t="shared" si="4"/>
        <v>6556</v>
      </c>
      <c r="K21" s="90">
        <f t="shared" si="2"/>
        <v>3.5</v>
      </c>
      <c r="L21" s="67">
        <f>ROUND((H21)*J21/1000*K21,1)-0.2</f>
        <v>1101.2</v>
      </c>
      <c r="M21" s="67">
        <f t="shared" si="3"/>
        <v>344.2</v>
      </c>
      <c r="N21" s="67">
        <f t="shared" si="5"/>
        <v>1996.1000000000001</v>
      </c>
      <c r="O21" s="123">
        <v>1910.6999999999998</v>
      </c>
      <c r="P21" s="68">
        <f t="shared" si="8"/>
        <v>-85.40000000000032</v>
      </c>
      <c r="Q21" s="68">
        <f>'[1]2019'!$BC17</f>
        <v>1996.1</v>
      </c>
      <c r="R21" s="68">
        <f t="shared" si="6"/>
        <v>0</v>
      </c>
    </row>
    <row r="22" spans="1:18" s="68" customFormat="1" ht="15.75">
      <c r="A22" s="65">
        <v>15</v>
      </c>
      <c r="B22" s="66" t="s">
        <v>25</v>
      </c>
      <c r="C22" s="93">
        <v>29020</v>
      </c>
      <c r="D22" s="163"/>
      <c r="E22" s="89">
        <v>6556</v>
      </c>
      <c r="F22" s="90">
        <f t="shared" si="0"/>
        <v>4.426</v>
      </c>
      <c r="G22" s="91">
        <f t="shared" si="1"/>
        <v>0</v>
      </c>
      <c r="H22" s="94">
        <v>30</v>
      </c>
      <c r="I22" s="94"/>
      <c r="J22" s="89">
        <f t="shared" si="4"/>
        <v>6556</v>
      </c>
      <c r="K22" s="90">
        <f t="shared" si="2"/>
        <v>4.426</v>
      </c>
      <c r="L22" s="67">
        <f>ROUND((H22)*J22/1000*K22,1)+0.1</f>
        <v>870.6</v>
      </c>
      <c r="M22" s="67">
        <f t="shared" si="3"/>
        <v>0</v>
      </c>
      <c r="N22" s="67">
        <f t="shared" si="5"/>
        <v>870.6</v>
      </c>
      <c r="O22" s="123">
        <v>735.3999999999999</v>
      </c>
      <c r="P22" s="68">
        <f t="shared" si="8"/>
        <v>-135.20000000000016</v>
      </c>
      <c r="Q22" s="68">
        <f>'[1]2019'!$BC18</f>
        <v>870.6</v>
      </c>
      <c r="R22" s="68">
        <f t="shared" si="6"/>
        <v>0</v>
      </c>
    </row>
    <row r="23" spans="1:18" s="68" customFormat="1" ht="15.75">
      <c r="A23" s="65">
        <v>16</v>
      </c>
      <c r="B23" s="66" t="s">
        <v>24</v>
      </c>
      <c r="C23" s="95">
        <v>25180</v>
      </c>
      <c r="D23" s="164"/>
      <c r="E23" s="89">
        <v>6556</v>
      </c>
      <c r="F23" s="90">
        <f t="shared" si="0"/>
        <v>3.841</v>
      </c>
      <c r="G23" s="91">
        <f t="shared" si="1"/>
        <v>0</v>
      </c>
      <c r="H23" s="94">
        <v>20</v>
      </c>
      <c r="I23" s="151"/>
      <c r="J23" s="89">
        <f t="shared" si="4"/>
        <v>6556</v>
      </c>
      <c r="K23" s="90">
        <f t="shared" si="2"/>
        <v>3.841</v>
      </c>
      <c r="L23" s="67">
        <f t="shared" si="7"/>
        <v>503.6</v>
      </c>
      <c r="M23" s="67">
        <f t="shared" si="3"/>
        <v>0</v>
      </c>
      <c r="N23" s="67">
        <f t="shared" si="5"/>
        <v>503.6</v>
      </c>
      <c r="O23" s="123">
        <v>475.8</v>
      </c>
      <c r="P23" s="68">
        <f t="shared" si="8"/>
        <v>-27.80000000000001</v>
      </c>
      <c r="Q23" s="68">
        <f>'[1]2019'!$BC19</f>
        <v>503.6</v>
      </c>
      <c r="R23" s="68">
        <f t="shared" si="6"/>
        <v>0</v>
      </c>
    </row>
    <row r="24" spans="1:18" s="68" customFormat="1" ht="15.75">
      <c r="A24" s="65">
        <v>17</v>
      </c>
      <c r="B24" s="66" t="s">
        <v>12</v>
      </c>
      <c r="C24" s="93">
        <v>14116</v>
      </c>
      <c r="D24" s="163"/>
      <c r="E24" s="89">
        <v>6556</v>
      </c>
      <c r="F24" s="90">
        <f t="shared" si="0"/>
        <v>2.153</v>
      </c>
      <c r="G24" s="91">
        <f t="shared" si="1"/>
        <v>0</v>
      </c>
      <c r="H24" s="94">
        <v>75</v>
      </c>
      <c r="I24" s="151"/>
      <c r="J24" s="89">
        <f t="shared" si="4"/>
        <v>6556</v>
      </c>
      <c r="K24" s="90">
        <f t="shared" si="2"/>
        <v>2.153</v>
      </c>
      <c r="L24" s="67">
        <f>ROUND((H24)*J24/1000*K24,1)+0.1</f>
        <v>1058.6999999999998</v>
      </c>
      <c r="M24" s="67">
        <f t="shared" si="3"/>
        <v>0</v>
      </c>
      <c r="N24" s="67">
        <f t="shared" si="5"/>
        <v>1058.6999999999998</v>
      </c>
      <c r="O24" s="123">
        <v>1008.2</v>
      </c>
      <c r="P24" s="68">
        <f t="shared" si="8"/>
        <v>-50.49999999999977</v>
      </c>
      <c r="Q24" s="68">
        <f>'[1]2019'!$BC20</f>
        <v>1058.7</v>
      </c>
      <c r="R24" s="68">
        <f t="shared" si="6"/>
        <v>0</v>
      </c>
    </row>
    <row r="25" spans="1:18" s="68" customFormat="1" ht="15.75">
      <c r="A25" s="65">
        <v>18</v>
      </c>
      <c r="B25" s="66" t="s">
        <v>13</v>
      </c>
      <c r="C25" s="93">
        <v>22802</v>
      </c>
      <c r="D25" s="163"/>
      <c r="E25" s="89">
        <v>6556</v>
      </c>
      <c r="F25" s="90">
        <f t="shared" si="0"/>
        <v>3.478</v>
      </c>
      <c r="G25" s="91">
        <f t="shared" si="1"/>
        <v>0</v>
      </c>
      <c r="H25" s="94">
        <v>41</v>
      </c>
      <c r="I25" s="151"/>
      <c r="J25" s="89">
        <f t="shared" si="4"/>
        <v>6556</v>
      </c>
      <c r="K25" s="90">
        <f t="shared" si="2"/>
        <v>3.478</v>
      </c>
      <c r="L25" s="67">
        <f t="shared" si="7"/>
        <v>934.9</v>
      </c>
      <c r="M25" s="67">
        <f t="shared" si="3"/>
        <v>0</v>
      </c>
      <c r="N25" s="67">
        <f t="shared" si="5"/>
        <v>934.9</v>
      </c>
      <c r="O25" s="123">
        <v>854.1</v>
      </c>
      <c r="P25" s="68">
        <f t="shared" si="8"/>
        <v>-80.79999999999995</v>
      </c>
      <c r="Q25" s="68">
        <f>'[1]2019'!$BC21</f>
        <v>934.9</v>
      </c>
      <c r="R25" s="68">
        <f t="shared" si="6"/>
        <v>0</v>
      </c>
    </row>
    <row r="26" spans="1:18" s="68" customFormat="1" ht="15.75">
      <c r="A26" s="65">
        <v>19</v>
      </c>
      <c r="B26" s="66" t="s">
        <v>14</v>
      </c>
      <c r="C26" s="93">
        <v>22053</v>
      </c>
      <c r="D26" s="163"/>
      <c r="E26" s="89">
        <v>6556</v>
      </c>
      <c r="F26" s="90">
        <f t="shared" si="0"/>
        <v>3.364</v>
      </c>
      <c r="G26" s="91">
        <f t="shared" si="1"/>
        <v>0</v>
      </c>
      <c r="H26" s="94">
        <v>40</v>
      </c>
      <c r="I26" s="151"/>
      <c r="J26" s="89">
        <f t="shared" si="4"/>
        <v>6556</v>
      </c>
      <c r="K26" s="90">
        <f t="shared" si="2"/>
        <v>3.364</v>
      </c>
      <c r="L26" s="67">
        <f>ROUND((H26)*J26/1000*K26,1)-0.1</f>
        <v>882.1</v>
      </c>
      <c r="M26" s="67">
        <f t="shared" si="3"/>
        <v>0</v>
      </c>
      <c r="N26" s="67">
        <f t="shared" si="5"/>
        <v>882.1</v>
      </c>
      <c r="O26" s="123">
        <v>835.9</v>
      </c>
      <c r="P26" s="68">
        <f t="shared" si="8"/>
        <v>-46.200000000000045</v>
      </c>
      <c r="Q26" s="68">
        <f>'[1]2019'!$BC22</f>
        <v>882.1</v>
      </c>
      <c r="R26" s="68">
        <f t="shared" si="6"/>
        <v>0</v>
      </c>
    </row>
    <row r="27" spans="1:18" s="70" customFormat="1" ht="16.5" customHeight="1">
      <c r="A27" s="65">
        <v>20</v>
      </c>
      <c r="B27" s="69" t="s">
        <v>15</v>
      </c>
      <c r="C27" s="98">
        <v>13846</v>
      </c>
      <c r="D27" s="166"/>
      <c r="E27" s="89">
        <v>6556</v>
      </c>
      <c r="F27" s="90">
        <f t="shared" si="0"/>
        <v>2.112</v>
      </c>
      <c r="G27" s="91">
        <f t="shared" si="1"/>
        <v>0</v>
      </c>
      <c r="H27" s="94">
        <v>57</v>
      </c>
      <c r="I27" s="151"/>
      <c r="J27" s="89">
        <f t="shared" si="4"/>
        <v>6556</v>
      </c>
      <c r="K27" s="90">
        <f t="shared" si="2"/>
        <v>2.112</v>
      </c>
      <c r="L27" s="67">
        <f t="shared" si="7"/>
        <v>789.2</v>
      </c>
      <c r="M27" s="67">
        <f t="shared" si="3"/>
        <v>0</v>
      </c>
      <c r="N27" s="67">
        <f t="shared" si="5"/>
        <v>789.2</v>
      </c>
      <c r="O27" s="123">
        <v>924.1999999999999</v>
      </c>
      <c r="P27" s="68">
        <f t="shared" si="8"/>
        <v>134.9999999999999</v>
      </c>
      <c r="Q27" s="68">
        <f>'[1]2019'!$BC23</f>
        <v>789.2</v>
      </c>
      <c r="R27" s="68">
        <f t="shared" si="6"/>
        <v>0</v>
      </c>
    </row>
    <row r="28" spans="1:18" s="68" customFormat="1" ht="19.5" customHeight="1">
      <c r="A28" s="65">
        <v>21</v>
      </c>
      <c r="B28" s="66" t="s">
        <v>26</v>
      </c>
      <c r="C28" s="99">
        <v>42589</v>
      </c>
      <c r="D28" s="167"/>
      <c r="E28" s="89">
        <v>6556</v>
      </c>
      <c r="F28" s="90">
        <f t="shared" si="0"/>
        <v>6.496</v>
      </c>
      <c r="G28" s="91">
        <f t="shared" si="1"/>
        <v>0</v>
      </c>
      <c r="H28" s="94">
        <v>18</v>
      </c>
      <c r="I28" s="94"/>
      <c r="J28" s="89">
        <f t="shared" si="4"/>
        <v>6556</v>
      </c>
      <c r="K28" s="90">
        <f t="shared" si="2"/>
        <v>6.496</v>
      </c>
      <c r="L28" s="67">
        <f t="shared" si="7"/>
        <v>766.6</v>
      </c>
      <c r="M28" s="67">
        <f t="shared" si="3"/>
        <v>0</v>
      </c>
      <c r="N28" s="67">
        <f t="shared" si="5"/>
        <v>766.6</v>
      </c>
      <c r="O28" s="123">
        <v>675.4</v>
      </c>
      <c r="P28" s="68">
        <f t="shared" si="8"/>
        <v>-91.20000000000005</v>
      </c>
      <c r="Q28" s="68">
        <f>'[1]2019'!$BC24</f>
        <v>766.6</v>
      </c>
      <c r="R28" s="68">
        <f t="shared" si="6"/>
        <v>0</v>
      </c>
    </row>
    <row r="29" spans="1:18" s="68" customFormat="1" ht="19.5" customHeight="1">
      <c r="A29" s="65">
        <v>22</v>
      </c>
      <c r="B29" s="66" t="s">
        <v>27</v>
      </c>
      <c r="C29" s="99">
        <v>92756</v>
      </c>
      <c r="D29" s="167"/>
      <c r="E29" s="89">
        <v>6556</v>
      </c>
      <c r="F29" s="90">
        <f t="shared" si="0"/>
        <v>14.148</v>
      </c>
      <c r="G29" s="91">
        <f t="shared" si="1"/>
        <v>0</v>
      </c>
      <c r="H29" s="94">
        <v>9</v>
      </c>
      <c r="I29" s="151"/>
      <c r="J29" s="89">
        <f t="shared" si="4"/>
        <v>6556</v>
      </c>
      <c r="K29" s="90">
        <f t="shared" si="2"/>
        <v>14.148</v>
      </c>
      <c r="L29" s="67">
        <f t="shared" si="7"/>
        <v>834.8</v>
      </c>
      <c r="M29" s="67">
        <f t="shared" si="3"/>
        <v>0</v>
      </c>
      <c r="N29" s="67">
        <f t="shared" si="5"/>
        <v>834.8</v>
      </c>
      <c r="O29" s="123">
        <v>721.3</v>
      </c>
      <c r="P29" s="68">
        <f t="shared" si="8"/>
        <v>-113.5</v>
      </c>
      <c r="Q29" s="68">
        <f>'[1]2019'!$BC25</f>
        <v>834.8</v>
      </c>
      <c r="R29" s="68">
        <f t="shared" si="6"/>
        <v>0</v>
      </c>
    </row>
    <row r="30" spans="1:18" s="68" customFormat="1" ht="18" customHeight="1">
      <c r="A30" s="65">
        <v>23</v>
      </c>
      <c r="B30" s="66" t="s">
        <v>28</v>
      </c>
      <c r="C30" s="99">
        <v>65775</v>
      </c>
      <c r="D30" s="167"/>
      <c r="E30" s="89">
        <v>6556</v>
      </c>
      <c r="F30" s="90">
        <f t="shared" si="0"/>
        <v>10.033</v>
      </c>
      <c r="G30" s="91">
        <f t="shared" si="1"/>
        <v>0</v>
      </c>
      <c r="H30" s="94">
        <v>12</v>
      </c>
      <c r="I30" s="151"/>
      <c r="J30" s="89">
        <f t="shared" si="4"/>
        <v>6556</v>
      </c>
      <c r="K30" s="90">
        <f t="shared" si="2"/>
        <v>10.033</v>
      </c>
      <c r="L30" s="67">
        <f t="shared" si="7"/>
        <v>789.3</v>
      </c>
      <c r="M30" s="67">
        <f t="shared" si="3"/>
        <v>0</v>
      </c>
      <c r="N30" s="67">
        <f t="shared" si="5"/>
        <v>789.3</v>
      </c>
      <c r="O30" s="123">
        <v>705.6999999999999</v>
      </c>
      <c r="P30" s="68">
        <f t="shared" si="8"/>
        <v>-83.60000000000002</v>
      </c>
      <c r="Q30" s="68">
        <f>'[1]2019'!$BC26</f>
        <v>789.3</v>
      </c>
      <c r="R30" s="68">
        <f t="shared" si="6"/>
        <v>0</v>
      </c>
    </row>
    <row r="31" spans="1:18" s="68" customFormat="1" ht="18.75" customHeight="1">
      <c r="A31" s="65">
        <v>24</v>
      </c>
      <c r="B31" s="66" t="s">
        <v>29</v>
      </c>
      <c r="C31" s="99">
        <v>24909</v>
      </c>
      <c r="D31" s="167"/>
      <c r="E31" s="89">
        <v>6556</v>
      </c>
      <c r="F31" s="90">
        <f t="shared" si="0"/>
        <v>3.799</v>
      </c>
      <c r="G31" s="91">
        <f t="shared" si="1"/>
        <v>0</v>
      </c>
      <c r="H31" s="94">
        <v>32</v>
      </c>
      <c r="I31" s="151"/>
      <c r="J31" s="89">
        <f t="shared" si="4"/>
        <v>6556</v>
      </c>
      <c r="K31" s="90">
        <f t="shared" si="2"/>
        <v>3.799</v>
      </c>
      <c r="L31" s="67">
        <f>ROUND((H31)*J31/1000*K31,1)+0.1</f>
        <v>797.1</v>
      </c>
      <c r="M31" s="67">
        <f t="shared" si="3"/>
        <v>0</v>
      </c>
      <c r="N31" s="67">
        <f t="shared" si="5"/>
        <v>797.1</v>
      </c>
      <c r="O31" s="123">
        <v>689.6</v>
      </c>
      <c r="P31" s="68">
        <f t="shared" si="8"/>
        <v>-107.5</v>
      </c>
      <c r="Q31" s="68">
        <f>'[1]2019'!$BC27</f>
        <v>797.1</v>
      </c>
      <c r="R31" s="68">
        <f t="shared" si="6"/>
        <v>0</v>
      </c>
    </row>
    <row r="32" spans="1:18" s="68" customFormat="1" ht="15.75">
      <c r="A32" s="65">
        <v>25</v>
      </c>
      <c r="B32" s="66" t="s">
        <v>16</v>
      </c>
      <c r="C32" s="88">
        <v>11845</v>
      </c>
      <c r="D32" s="162"/>
      <c r="E32" s="89">
        <v>6556</v>
      </c>
      <c r="F32" s="90">
        <f t="shared" si="0"/>
        <v>1.807</v>
      </c>
      <c r="G32" s="91">
        <f t="shared" si="1"/>
        <v>0</v>
      </c>
      <c r="H32" s="92">
        <v>105</v>
      </c>
      <c r="I32" s="152"/>
      <c r="J32" s="89">
        <f t="shared" si="4"/>
        <v>6556</v>
      </c>
      <c r="K32" s="90">
        <f t="shared" si="2"/>
        <v>1.807</v>
      </c>
      <c r="L32" s="67">
        <f>ROUND((H32)*J32/1000*K32,1)-0.2</f>
        <v>1243.7</v>
      </c>
      <c r="M32" s="67">
        <f t="shared" si="3"/>
        <v>0</v>
      </c>
      <c r="N32" s="67">
        <f t="shared" si="5"/>
        <v>1243.7</v>
      </c>
      <c r="O32" s="123">
        <v>1149</v>
      </c>
      <c r="P32" s="68">
        <f t="shared" si="8"/>
        <v>-94.70000000000005</v>
      </c>
      <c r="Q32" s="68">
        <f>'[1]2019'!$BC28</f>
        <v>1243.7</v>
      </c>
      <c r="R32" s="68">
        <f t="shared" si="6"/>
        <v>0</v>
      </c>
    </row>
    <row r="33" spans="1:18" s="68" customFormat="1" ht="15.75">
      <c r="A33" s="65">
        <v>26</v>
      </c>
      <c r="B33" s="66" t="s">
        <v>17</v>
      </c>
      <c r="C33" s="93">
        <v>11086</v>
      </c>
      <c r="D33" s="163"/>
      <c r="E33" s="89">
        <v>6556</v>
      </c>
      <c r="F33" s="90">
        <f t="shared" si="0"/>
        <v>1.691</v>
      </c>
      <c r="G33" s="91">
        <f t="shared" si="1"/>
        <v>0</v>
      </c>
      <c r="H33" s="94">
        <v>85</v>
      </c>
      <c r="I33" s="151">
        <v>20</v>
      </c>
      <c r="J33" s="89">
        <f t="shared" si="4"/>
        <v>6556</v>
      </c>
      <c r="K33" s="90">
        <f t="shared" si="2"/>
        <v>1.691</v>
      </c>
      <c r="L33" s="67">
        <f t="shared" si="7"/>
        <v>942.3</v>
      </c>
      <c r="M33" s="67">
        <f t="shared" si="3"/>
        <v>221.7</v>
      </c>
      <c r="N33" s="67">
        <f t="shared" si="5"/>
        <v>1164</v>
      </c>
      <c r="O33" s="123">
        <v>1141.7</v>
      </c>
      <c r="P33" s="68">
        <f t="shared" si="8"/>
        <v>-22.299999999999955</v>
      </c>
      <c r="Q33" s="68">
        <f>'[1]2019'!$BC29</f>
        <v>1164</v>
      </c>
      <c r="R33" s="68">
        <f t="shared" si="6"/>
        <v>0</v>
      </c>
    </row>
    <row r="34" spans="1:18" s="70" customFormat="1" ht="18" customHeight="1">
      <c r="A34" s="65">
        <v>27</v>
      </c>
      <c r="B34" s="69" t="s">
        <v>18</v>
      </c>
      <c r="C34" s="99">
        <v>11021</v>
      </c>
      <c r="D34" s="167">
        <v>22</v>
      </c>
      <c r="E34" s="89">
        <v>6556</v>
      </c>
      <c r="F34" s="90">
        <f t="shared" si="0"/>
        <v>1.681</v>
      </c>
      <c r="G34" s="91">
        <f t="shared" si="1"/>
        <v>242.5</v>
      </c>
      <c r="H34" s="94">
        <v>56</v>
      </c>
      <c r="I34" s="94">
        <v>41</v>
      </c>
      <c r="J34" s="89">
        <f t="shared" si="4"/>
        <v>6556</v>
      </c>
      <c r="K34" s="90">
        <f t="shared" si="2"/>
        <v>1.681</v>
      </c>
      <c r="L34" s="67">
        <f t="shared" si="7"/>
        <v>617.2</v>
      </c>
      <c r="M34" s="67">
        <f t="shared" si="3"/>
        <v>451.8</v>
      </c>
      <c r="N34" s="67">
        <f t="shared" si="5"/>
        <v>1311.5</v>
      </c>
      <c r="O34" s="123">
        <v>1229.3</v>
      </c>
      <c r="P34" s="68">
        <f t="shared" si="8"/>
        <v>-82.20000000000005</v>
      </c>
      <c r="Q34" s="68">
        <f>'[1]2019'!$BC30</f>
        <v>1311.5</v>
      </c>
      <c r="R34" s="68">
        <f t="shared" si="6"/>
        <v>0</v>
      </c>
    </row>
    <row r="35" spans="1:18" s="68" customFormat="1" ht="15.75">
      <c r="A35" s="65">
        <v>28</v>
      </c>
      <c r="B35" s="66" t="s">
        <v>19</v>
      </c>
      <c r="C35" s="93">
        <v>8475</v>
      </c>
      <c r="D35" s="163">
        <v>19</v>
      </c>
      <c r="E35" s="89">
        <v>6556</v>
      </c>
      <c r="F35" s="90">
        <f t="shared" si="0"/>
        <v>1.293</v>
      </c>
      <c r="G35" s="91">
        <f t="shared" si="1"/>
        <v>161.1</v>
      </c>
      <c r="H35" s="94">
        <v>121</v>
      </c>
      <c r="I35" s="94"/>
      <c r="J35" s="89">
        <f t="shared" si="4"/>
        <v>6556</v>
      </c>
      <c r="K35" s="90">
        <f t="shared" si="2"/>
        <v>1.293</v>
      </c>
      <c r="L35" s="67">
        <f>ROUND((H35)*J35/1000*K35,1)-0.3</f>
        <v>1025.4</v>
      </c>
      <c r="M35" s="67">
        <f t="shared" si="3"/>
        <v>0</v>
      </c>
      <c r="N35" s="67">
        <f t="shared" si="5"/>
        <v>1186.5</v>
      </c>
      <c r="O35" s="123">
        <v>1223.5</v>
      </c>
      <c r="P35" s="68">
        <f t="shared" si="8"/>
        <v>37</v>
      </c>
      <c r="Q35" s="68">
        <f>'[1]2019'!$BC31</f>
        <v>1186.5</v>
      </c>
      <c r="R35" s="68">
        <f t="shared" si="6"/>
        <v>0</v>
      </c>
    </row>
    <row r="36" spans="1:18" s="68" customFormat="1" ht="15.75">
      <c r="A36" s="65">
        <v>29</v>
      </c>
      <c r="B36" s="66" t="s">
        <v>20</v>
      </c>
      <c r="C36" s="100">
        <v>12030</v>
      </c>
      <c r="D36" s="168">
        <v>20</v>
      </c>
      <c r="E36" s="89">
        <v>6556</v>
      </c>
      <c r="F36" s="90">
        <f t="shared" si="0"/>
        <v>1.835</v>
      </c>
      <c r="G36" s="91">
        <f t="shared" si="1"/>
        <v>240.6</v>
      </c>
      <c r="H36" s="101">
        <v>108</v>
      </c>
      <c r="I36" s="101"/>
      <c r="J36" s="89">
        <f t="shared" si="4"/>
        <v>6556</v>
      </c>
      <c r="K36" s="90">
        <f t="shared" si="2"/>
        <v>1.835</v>
      </c>
      <c r="L36" s="67">
        <f>ROUND((H36)*J36/1000*K36,1)-0.1</f>
        <v>1299.2</v>
      </c>
      <c r="M36" s="67">
        <f t="shared" si="3"/>
        <v>0</v>
      </c>
      <c r="N36" s="67">
        <f t="shared" si="5"/>
        <v>1539.8</v>
      </c>
      <c r="O36" s="123">
        <v>1495.5</v>
      </c>
      <c r="P36" s="68">
        <f t="shared" si="8"/>
        <v>-44.299999999999955</v>
      </c>
      <c r="Q36" s="68">
        <f>'[1]2019'!$BC32</f>
        <v>1539.8</v>
      </c>
      <c r="R36" s="68">
        <f t="shared" si="6"/>
        <v>0</v>
      </c>
    </row>
    <row r="37" spans="1:18" s="68" customFormat="1" ht="15.75">
      <c r="A37" s="65">
        <v>30</v>
      </c>
      <c r="B37" s="66" t="s">
        <v>30</v>
      </c>
      <c r="C37" s="93">
        <v>44967</v>
      </c>
      <c r="D37" s="163"/>
      <c r="E37" s="89">
        <v>6556</v>
      </c>
      <c r="F37" s="90">
        <f t="shared" si="0"/>
        <v>6.859</v>
      </c>
      <c r="G37" s="91">
        <f t="shared" si="1"/>
        <v>0</v>
      </c>
      <c r="H37" s="94">
        <v>18</v>
      </c>
      <c r="I37" s="94"/>
      <c r="J37" s="89">
        <f t="shared" si="4"/>
        <v>6556</v>
      </c>
      <c r="K37" s="90">
        <f t="shared" si="2"/>
        <v>6.859</v>
      </c>
      <c r="L37" s="67">
        <f t="shared" si="7"/>
        <v>809.4</v>
      </c>
      <c r="M37" s="67">
        <f t="shared" si="3"/>
        <v>0</v>
      </c>
      <c r="N37" s="67">
        <f t="shared" si="5"/>
        <v>809.4</v>
      </c>
      <c r="O37" s="123">
        <v>698.7</v>
      </c>
      <c r="P37" s="68">
        <f t="shared" si="8"/>
        <v>-110.69999999999993</v>
      </c>
      <c r="Q37" s="68">
        <f>'[1]2019'!$BC33</f>
        <v>809.4</v>
      </c>
      <c r="R37" s="68">
        <f t="shared" si="6"/>
        <v>0</v>
      </c>
    </row>
    <row r="38" spans="1:18" s="68" customFormat="1" ht="15.75">
      <c r="A38" s="65">
        <v>31</v>
      </c>
      <c r="B38" s="66" t="s">
        <v>31</v>
      </c>
      <c r="C38" s="93">
        <v>29765</v>
      </c>
      <c r="D38" s="163"/>
      <c r="E38" s="89">
        <v>6556</v>
      </c>
      <c r="F38" s="90">
        <f t="shared" si="0"/>
        <v>4.54</v>
      </c>
      <c r="G38" s="91">
        <f t="shared" si="1"/>
        <v>0</v>
      </c>
      <c r="H38" s="94">
        <v>20</v>
      </c>
      <c r="I38" s="94"/>
      <c r="J38" s="89">
        <f t="shared" si="4"/>
        <v>6556</v>
      </c>
      <c r="K38" s="90">
        <f t="shared" si="2"/>
        <v>4.54</v>
      </c>
      <c r="L38" s="67">
        <f t="shared" si="7"/>
        <v>595.3</v>
      </c>
      <c r="M38" s="67">
        <f t="shared" si="3"/>
        <v>0</v>
      </c>
      <c r="N38" s="67">
        <f t="shared" si="5"/>
        <v>595.3</v>
      </c>
      <c r="O38" s="123">
        <v>523.5</v>
      </c>
      <c r="P38" s="68">
        <f t="shared" si="8"/>
        <v>-71.79999999999995</v>
      </c>
      <c r="Q38" s="68">
        <f>'[1]2019'!$BC34</f>
        <v>595.3</v>
      </c>
      <c r="R38" s="68">
        <f t="shared" si="6"/>
        <v>0</v>
      </c>
    </row>
    <row r="39" spans="1:18" s="68" customFormat="1" ht="15.75">
      <c r="A39" s="65">
        <v>32</v>
      </c>
      <c r="B39" s="66" t="s">
        <v>21</v>
      </c>
      <c r="C39" s="93">
        <v>12467</v>
      </c>
      <c r="D39" s="163"/>
      <c r="E39" s="89">
        <v>6556</v>
      </c>
      <c r="F39" s="90">
        <f t="shared" si="0"/>
        <v>1.902</v>
      </c>
      <c r="G39" s="91">
        <f t="shared" si="1"/>
        <v>0</v>
      </c>
      <c r="H39" s="94">
        <v>55</v>
      </c>
      <c r="I39" s="94"/>
      <c r="J39" s="89">
        <f t="shared" si="4"/>
        <v>6556</v>
      </c>
      <c r="K39" s="90">
        <f t="shared" si="2"/>
        <v>1.902</v>
      </c>
      <c r="L39" s="67">
        <f>ROUND((H39)*J39/1000*K39,1)-0.1</f>
        <v>685.6999999999999</v>
      </c>
      <c r="M39" s="67">
        <f t="shared" si="3"/>
        <v>0</v>
      </c>
      <c r="N39" s="67">
        <f t="shared" si="5"/>
        <v>685.6999999999999</v>
      </c>
      <c r="O39" s="123">
        <v>612.9</v>
      </c>
      <c r="P39" s="68">
        <f t="shared" si="8"/>
        <v>-72.79999999999995</v>
      </c>
      <c r="Q39" s="68">
        <f>'[1]2019'!$BC35</f>
        <v>685.7</v>
      </c>
      <c r="R39" s="68">
        <f t="shared" si="6"/>
        <v>0</v>
      </c>
    </row>
    <row r="40" spans="1:18" s="68" customFormat="1" ht="15.75">
      <c r="A40" s="65">
        <v>33</v>
      </c>
      <c r="B40" s="66" t="s">
        <v>32</v>
      </c>
      <c r="C40" s="95">
        <v>72442</v>
      </c>
      <c r="D40" s="164"/>
      <c r="E40" s="89">
        <v>6556</v>
      </c>
      <c r="F40" s="90">
        <f t="shared" si="0"/>
        <v>11.05</v>
      </c>
      <c r="G40" s="91">
        <f t="shared" si="1"/>
        <v>0</v>
      </c>
      <c r="H40" s="94">
        <v>12</v>
      </c>
      <c r="I40" s="94"/>
      <c r="J40" s="89">
        <f t="shared" si="4"/>
        <v>6556</v>
      </c>
      <c r="K40" s="90">
        <f t="shared" si="2"/>
        <v>11.05</v>
      </c>
      <c r="L40" s="67">
        <f t="shared" si="7"/>
        <v>869.3</v>
      </c>
      <c r="M40" s="67">
        <f t="shared" si="3"/>
        <v>0</v>
      </c>
      <c r="N40" s="67">
        <f t="shared" si="5"/>
        <v>869.3</v>
      </c>
      <c r="O40" s="123">
        <v>750.8</v>
      </c>
      <c r="P40" s="68">
        <f t="shared" si="8"/>
        <v>-118.5</v>
      </c>
      <c r="Q40" s="68">
        <f>'[1]2019'!$BC36</f>
        <v>869.3</v>
      </c>
      <c r="R40" s="68">
        <f t="shared" si="6"/>
        <v>0</v>
      </c>
    </row>
    <row r="41" spans="1:18" s="68" customFormat="1" ht="17.25" customHeight="1">
      <c r="A41" s="65">
        <v>34</v>
      </c>
      <c r="B41" s="66" t="s">
        <v>33</v>
      </c>
      <c r="C41" s="95">
        <v>30403</v>
      </c>
      <c r="D41" s="164"/>
      <c r="E41" s="89">
        <v>6556</v>
      </c>
      <c r="F41" s="90">
        <f t="shared" si="0"/>
        <v>4.637</v>
      </c>
      <c r="G41" s="91">
        <f t="shared" si="1"/>
        <v>0</v>
      </c>
      <c r="H41" s="94">
        <v>32</v>
      </c>
      <c r="I41" s="94"/>
      <c r="J41" s="89">
        <f t="shared" si="4"/>
        <v>6556</v>
      </c>
      <c r="K41" s="90">
        <f t="shared" si="2"/>
        <v>4.637</v>
      </c>
      <c r="L41" s="67">
        <f>ROUND((H41)*J41/1000*K41,1)+0.1</f>
        <v>972.9</v>
      </c>
      <c r="M41" s="67">
        <f t="shared" si="3"/>
        <v>0</v>
      </c>
      <c r="N41" s="67">
        <f t="shared" si="5"/>
        <v>972.9</v>
      </c>
      <c r="O41" s="123">
        <v>754.3</v>
      </c>
      <c r="P41" s="68">
        <f t="shared" si="8"/>
        <v>-218.60000000000002</v>
      </c>
      <c r="Q41" s="68">
        <f>'[1]2019'!$BC37</f>
        <v>972.9</v>
      </c>
      <c r="R41" s="68">
        <f t="shared" si="6"/>
        <v>0</v>
      </c>
    </row>
    <row r="42" spans="1:18" s="68" customFormat="1" ht="15.75">
      <c r="A42" s="65">
        <v>35</v>
      </c>
      <c r="B42" s="66" t="s">
        <v>34</v>
      </c>
      <c r="C42" s="93">
        <v>6556</v>
      </c>
      <c r="D42" s="163"/>
      <c r="E42" s="89">
        <v>6556</v>
      </c>
      <c r="F42" s="90">
        <f t="shared" si="0"/>
        <v>1</v>
      </c>
      <c r="G42" s="91">
        <f t="shared" si="1"/>
        <v>0</v>
      </c>
      <c r="H42" s="94">
        <v>27</v>
      </c>
      <c r="I42" s="94"/>
      <c r="J42" s="89">
        <f t="shared" si="4"/>
        <v>6556</v>
      </c>
      <c r="K42" s="90">
        <f t="shared" si="2"/>
        <v>1</v>
      </c>
      <c r="L42" s="67">
        <f t="shared" si="7"/>
        <v>177</v>
      </c>
      <c r="M42" s="67">
        <f t="shared" si="3"/>
        <v>0</v>
      </c>
      <c r="N42" s="67">
        <f t="shared" si="5"/>
        <v>177</v>
      </c>
      <c r="O42" s="123">
        <v>151.3</v>
      </c>
      <c r="P42" s="68">
        <f t="shared" si="8"/>
        <v>-25.69999999999999</v>
      </c>
      <c r="Q42" s="68">
        <f>'[1]2019'!$BC38</f>
        <v>177</v>
      </c>
      <c r="R42" s="68">
        <f t="shared" si="6"/>
        <v>0</v>
      </c>
    </row>
    <row r="43" spans="1:18" s="68" customFormat="1" ht="15.75">
      <c r="A43" s="65">
        <v>36</v>
      </c>
      <c r="B43" s="66" t="s">
        <v>35</v>
      </c>
      <c r="C43" s="93">
        <v>22576</v>
      </c>
      <c r="D43" s="163"/>
      <c r="E43" s="89">
        <v>6556</v>
      </c>
      <c r="F43" s="90">
        <f t="shared" si="0"/>
        <v>3.444</v>
      </c>
      <c r="G43" s="91">
        <f t="shared" si="1"/>
        <v>0</v>
      </c>
      <c r="H43" s="94">
        <v>33</v>
      </c>
      <c r="I43" s="151"/>
      <c r="J43" s="89">
        <f t="shared" si="4"/>
        <v>6556</v>
      </c>
      <c r="K43" s="90">
        <f t="shared" si="2"/>
        <v>3.444</v>
      </c>
      <c r="L43" s="67">
        <f>ROUND((H43)*J43/1000*K43,1)-0.1</f>
        <v>745</v>
      </c>
      <c r="M43" s="67">
        <f t="shared" si="3"/>
        <v>0</v>
      </c>
      <c r="N43" s="67">
        <f t="shared" si="5"/>
        <v>745</v>
      </c>
      <c r="O43" s="123">
        <v>1020.1</v>
      </c>
      <c r="P43" s="68">
        <f t="shared" si="8"/>
        <v>275.1</v>
      </c>
      <c r="Q43" s="68">
        <f>'[1]2019'!$BC39</f>
        <v>745</v>
      </c>
      <c r="R43" s="68">
        <f t="shared" si="6"/>
        <v>0</v>
      </c>
    </row>
    <row r="44" spans="1:18" s="70" customFormat="1" ht="16.5" customHeight="1">
      <c r="A44" s="65">
        <v>37</v>
      </c>
      <c r="B44" s="69" t="s">
        <v>36</v>
      </c>
      <c r="C44" s="99">
        <v>24750</v>
      </c>
      <c r="D44" s="167"/>
      <c r="E44" s="89">
        <v>6556</v>
      </c>
      <c r="F44" s="90">
        <f t="shared" si="0"/>
        <v>3.775</v>
      </c>
      <c r="G44" s="91">
        <f t="shared" si="1"/>
        <v>0</v>
      </c>
      <c r="H44" s="94">
        <v>20</v>
      </c>
      <c r="I44" s="151"/>
      <c r="J44" s="89">
        <f t="shared" si="4"/>
        <v>6556</v>
      </c>
      <c r="K44" s="90">
        <f t="shared" si="2"/>
        <v>3.775</v>
      </c>
      <c r="L44" s="67">
        <f t="shared" si="7"/>
        <v>495</v>
      </c>
      <c r="M44" s="67">
        <f t="shared" si="3"/>
        <v>0</v>
      </c>
      <c r="N44" s="67">
        <f t="shared" si="5"/>
        <v>495</v>
      </c>
      <c r="O44" s="123">
        <v>433.79999999999995</v>
      </c>
      <c r="P44" s="68">
        <f t="shared" si="8"/>
        <v>-61.200000000000045</v>
      </c>
      <c r="Q44" s="68">
        <f>'[1]2019'!$BC40</f>
        <v>495</v>
      </c>
      <c r="R44" s="68">
        <f t="shared" si="6"/>
        <v>0</v>
      </c>
    </row>
    <row r="45" spans="1:18" s="70" customFormat="1" ht="15" customHeight="1">
      <c r="A45" s="65">
        <v>38</v>
      </c>
      <c r="B45" s="69" t="s">
        <v>37</v>
      </c>
      <c r="C45" s="99">
        <v>24776</v>
      </c>
      <c r="D45" s="167"/>
      <c r="E45" s="89">
        <v>6556</v>
      </c>
      <c r="F45" s="90">
        <f t="shared" si="0"/>
        <v>3.779</v>
      </c>
      <c r="G45" s="91">
        <f t="shared" si="1"/>
        <v>0</v>
      </c>
      <c r="H45" s="94">
        <v>34</v>
      </c>
      <c r="I45" s="94"/>
      <c r="J45" s="89">
        <f t="shared" si="4"/>
        <v>6556</v>
      </c>
      <c r="K45" s="90">
        <f t="shared" si="2"/>
        <v>3.779</v>
      </c>
      <c r="L45" s="67">
        <f t="shared" si="7"/>
        <v>842.4</v>
      </c>
      <c r="M45" s="67">
        <f t="shared" si="3"/>
        <v>0</v>
      </c>
      <c r="N45" s="67">
        <f t="shared" si="5"/>
        <v>842.4</v>
      </c>
      <c r="O45" s="123">
        <v>754</v>
      </c>
      <c r="P45" s="68">
        <f t="shared" si="8"/>
        <v>-88.39999999999998</v>
      </c>
      <c r="Q45" s="68">
        <f>'[1]2019'!$BC41</f>
        <v>842.4</v>
      </c>
      <c r="R45" s="68">
        <f t="shared" si="6"/>
        <v>0</v>
      </c>
    </row>
    <row r="46" spans="1:18" s="68" customFormat="1" ht="15.75" customHeight="1">
      <c r="A46" s="65">
        <v>39</v>
      </c>
      <c r="B46" s="66" t="s">
        <v>38</v>
      </c>
      <c r="C46" s="93">
        <v>16904</v>
      </c>
      <c r="D46" s="163"/>
      <c r="E46" s="89">
        <v>6556</v>
      </c>
      <c r="F46" s="90">
        <f t="shared" si="0"/>
        <v>2.578</v>
      </c>
      <c r="G46" s="91">
        <f t="shared" si="1"/>
        <v>0</v>
      </c>
      <c r="H46" s="94">
        <v>67</v>
      </c>
      <c r="I46" s="94"/>
      <c r="J46" s="89">
        <f t="shared" si="4"/>
        <v>6556</v>
      </c>
      <c r="K46" s="90">
        <f t="shared" si="2"/>
        <v>2.578</v>
      </c>
      <c r="L46" s="67">
        <f>ROUND((H46)*J46/1000*K46,1)+0.2</f>
        <v>1132.6000000000001</v>
      </c>
      <c r="M46" s="67">
        <f t="shared" si="3"/>
        <v>0</v>
      </c>
      <c r="N46" s="67">
        <f t="shared" si="5"/>
        <v>1132.6000000000001</v>
      </c>
      <c r="O46" s="123">
        <v>1102.5</v>
      </c>
      <c r="P46" s="68">
        <f t="shared" si="8"/>
        <v>-30.100000000000136</v>
      </c>
      <c r="Q46" s="68">
        <f>'[1]2019'!$BC42</f>
        <v>1132.6</v>
      </c>
      <c r="R46" s="68">
        <f t="shared" si="6"/>
        <v>0</v>
      </c>
    </row>
    <row r="47" spans="1:18" s="68" customFormat="1" ht="15.75">
      <c r="A47" s="65">
        <v>40</v>
      </c>
      <c r="B47" s="66" t="s">
        <v>39</v>
      </c>
      <c r="C47" s="93">
        <v>65100</v>
      </c>
      <c r="D47" s="163"/>
      <c r="E47" s="89">
        <v>6556</v>
      </c>
      <c r="F47" s="90">
        <f t="shared" si="0"/>
        <v>9.93</v>
      </c>
      <c r="G47" s="91">
        <f t="shared" si="1"/>
        <v>0</v>
      </c>
      <c r="H47" s="94">
        <v>12</v>
      </c>
      <c r="I47" s="94"/>
      <c r="J47" s="89">
        <f t="shared" si="4"/>
        <v>6556</v>
      </c>
      <c r="K47" s="90">
        <f t="shared" si="2"/>
        <v>9.93</v>
      </c>
      <c r="L47" s="67">
        <f t="shared" si="7"/>
        <v>781.2</v>
      </c>
      <c r="M47" s="67">
        <f t="shared" si="3"/>
        <v>0</v>
      </c>
      <c r="N47" s="67">
        <f t="shared" si="5"/>
        <v>781.2</v>
      </c>
      <c r="O47" s="123">
        <v>685.4</v>
      </c>
      <c r="P47" s="68">
        <f t="shared" si="8"/>
        <v>-95.80000000000007</v>
      </c>
      <c r="Q47" s="68">
        <f>'[1]2019'!$BC43</f>
        <v>781.2</v>
      </c>
      <c r="R47" s="68">
        <f t="shared" si="6"/>
        <v>0</v>
      </c>
    </row>
    <row r="48" spans="1:18" s="68" customFormat="1" ht="15.75">
      <c r="A48" s="65">
        <v>41</v>
      </c>
      <c r="B48" s="66" t="s">
        <v>22</v>
      </c>
      <c r="C48" s="102">
        <v>22356</v>
      </c>
      <c r="D48" s="102"/>
      <c r="E48" s="89">
        <v>6556</v>
      </c>
      <c r="F48" s="90">
        <f t="shared" si="0"/>
        <v>3.41</v>
      </c>
      <c r="G48" s="91">
        <f t="shared" si="1"/>
        <v>0</v>
      </c>
      <c r="H48" s="102">
        <v>39</v>
      </c>
      <c r="I48" s="102"/>
      <c r="J48" s="89">
        <f t="shared" si="4"/>
        <v>6556</v>
      </c>
      <c r="K48" s="90">
        <f t="shared" si="2"/>
        <v>3.41</v>
      </c>
      <c r="L48" s="67">
        <f t="shared" si="7"/>
        <v>871.9</v>
      </c>
      <c r="M48" s="67">
        <f t="shared" si="3"/>
        <v>0</v>
      </c>
      <c r="N48" s="67">
        <f t="shared" si="5"/>
        <v>871.9</v>
      </c>
      <c r="O48" s="123">
        <v>741.4</v>
      </c>
      <c r="P48" s="68">
        <f t="shared" si="8"/>
        <v>-130.5</v>
      </c>
      <c r="Q48" s="68">
        <f>'[1]2019'!$BC44</f>
        <v>871.9</v>
      </c>
      <c r="R48" s="68">
        <f t="shared" si="6"/>
        <v>0</v>
      </c>
    </row>
    <row r="49" spans="1:18" s="68" customFormat="1" ht="15.75">
      <c r="A49" s="65">
        <v>42</v>
      </c>
      <c r="B49" s="66" t="s">
        <v>40</v>
      </c>
      <c r="C49" s="93">
        <v>42780</v>
      </c>
      <c r="D49" s="163"/>
      <c r="E49" s="89">
        <v>6556</v>
      </c>
      <c r="F49" s="90">
        <f t="shared" si="0"/>
        <v>6.525</v>
      </c>
      <c r="G49" s="91">
        <f t="shared" si="1"/>
        <v>0</v>
      </c>
      <c r="H49" s="94">
        <v>20</v>
      </c>
      <c r="I49" s="94"/>
      <c r="J49" s="89">
        <f t="shared" si="4"/>
        <v>6556</v>
      </c>
      <c r="K49" s="90">
        <f t="shared" si="2"/>
        <v>6.525</v>
      </c>
      <c r="L49" s="67">
        <f t="shared" si="7"/>
        <v>855.6</v>
      </c>
      <c r="M49" s="67">
        <f t="shared" si="3"/>
        <v>0</v>
      </c>
      <c r="N49" s="67">
        <f t="shared" si="5"/>
        <v>855.6</v>
      </c>
      <c r="O49" s="123">
        <v>762.1</v>
      </c>
      <c r="P49" s="68">
        <f t="shared" si="8"/>
        <v>-93.5</v>
      </c>
      <c r="Q49" s="68">
        <f>'[1]2019'!$BC45</f>
        <v>855.6</v>
      </c>
      <c r="R49" s="68">
        <f t="shared" si="6"/>
        <v>0</v>
      </c>
    </row>
    <row r="50" spans="1:18" s="68" customFormat="1" ht="15.75">
      <c r="A50" s="65">
        <v>43</v>
      </c>
      <c r="B50" s="66" t="s">
        <v>41</v>
      </c>
      <c r="C50" s="93">
        <v>92438</v>
      </c>
      <c r="D50" s="163"/>
      <c r="E50" s="89">
        <v>6556</v>
      </c>
      <c r="F50" s="90">
        <f t="shared" si="0"/>
        <v>14.1</v>
      </c>
      <c r="G50" s="91">
        <f t="shared" si="1"/>
        <v>0</v>
      </c>
      <c r="H50" s="94">
        <v>8</v>
      </c>
      <c r="I50" s="94"/>
      <c r="J50" s="89">
        <f t="shared" si="4"/>
        <v>6556</v>
      </c>
      <c r="K50" s="90">
        <f t="shared" si="2"/>
        <v>14.1</v>
      </c>
      <c r="L50" s="67">
        <f t="shared" si="7"/>
        <v>739.5</v>
      </c>
      <c r="M50" s="67">
        <f t="shared" si="3"/>
        <v>0</v>
      </c>
      <c r="N50" s="67">
        <f t="shared" si="5"/>
        <v>739.5</v>
      </c>
      <c r="O50" s="123">
        <v>648.7</v>
      </c>
      <c r="P50" s="68">
        <f t="shared" si="8"/>
        <v>-90.79999999999995</v>
      </c>
      <c r="Q50" s="68">
        <f>'[1]2019'!$BC46</f>
        <v>739.5</v>
      </c>
      <c r="R50" s="68">
        <f t="shared" si="6"/>
        <v>0</v>
      </c>
    </row>
    <row r="51" spans="1:18" s="68" customFormat="1" ht="15.75">
      <c r="A51" s="65">
        <v>44</v>
      </c>
      <c r="B51" s="66" t="s">
        <v>42</v>
      </c>
      <c r="C51" s="93">
        <v>51457</v>
      </c>
      <c r="D51" s="163"/>
      <c r="E51" s="89">
        <v>6556</v>
      </c>
      <c r="F51" s="90">
        <f t="shared" si="0"/>
        <v>7.849</v>
      </c>
      <c r="G51" s="91">
        <f t="shared" si="1"/>
        <v>0</v>
      </c>
      <c r="H51" s="94">
        <v>14</v>
      </c>
      <c r="I51" s="151"/>
      <c r="J51" s="89">
        <f t="shared" si="4"/>
        <v>6556</v>
      </c>
      <c r="K51" s="90">
        <f t="shared" si="2"/>
        <v>7.849</v>
      </c>
      <c r="L51" s="67">
        <f t="shared" si="7"/>
        <v>720.4</v>
      </c>
      <c r="M51" s="67">
        <f t="shared" si="3"/>
        <v>0</v>
      </c>
      <c r="N51" s="67">
        <f t="shared" si="5"/>
        <v>720.4</v>
      </c>
      <c r="O51" s="123">
        <v>620.1999999999999</v>
      </c>
      <c r="P51" s="68">
        <f t="shared" si="8"/>
        <v>-100.20000000000005</v>
      </c>
      <c r="Q51" s="68">
        <f>'[1]2019'!$BC47</f>
        <v>720.4</v>
      </c>
      <c r="R51" s="68">
        <f t="shared" si="6"/>
        <v>0</v>
      </c>
    </row>
    <row r="52" spans="1:18" s="68" customFormat="1" ht="15.75">
      <c r="A52" s="65">
        <v>45</v>
      </c>
      <c r="B52" s="66" t="s">
        <v>23</v>
      </c>
      <c r="C52" s="93">
        <v>25748</v>
      </c>
      <c r="D52" s="163"/>
      <c r="E52" s="89">
        <v>6556</v>
      </c>
      <c r="F52" s="90">
        <f t="shared" si="0"/>
        <v>3.927</v>
      </c>
      <c r="G52" s="91">
        <f t="shared" si="1"/>
        <v>0</v>
      </c>
      <c r="H52" s="94">
        <v>21</v>
      </c>
      <c r="I52" s="94"/>
      <c r="J52" s="89">
        <f t="shared" si="4"/>
        <v>6556</v>
      </c>
      <c r="K52" s="90">
        <f t="shared" si="2"/>
        <v>3.927</v>
      </c>
      <c r="L52" s="67">
        <f t="shared" si="7"/>
        <v>540.7</v>
      </c>
      <c r="M52" s="67">
        <f t="shared" si="3"/>
        <v>0</v>
      </c>
      <c r="N52" s="67">
        <f t="shared" si="5"/>
        <v>540.7</v>
      </c>
      <c r="O52" s="123">
        <v>0</v>
      </c>
      <c r="P52" s="68">
        <f t="shared" si="8"/>
        <v>-540.7</v>
      </c>
      <c r="Q52" s="68">
        <f>'[1]2019'!$BC48</f>
        <v>540.7</v>
      </c>
      <c r="R52" s="68">
        <f t="shared" si="6"/>
        <v>0</v>
      </c>
    </row>
    <row r="53" spans="1:18" s="68" customFormat="1" ht="15.75">
      <c r="A53" s="65">
        <v>46</v>
      </c>
      <c r="B53" s="66" t="s">
        <v>43</v>
      </c>
      <c r="C53" s="93">
        <v>27557</v>
      </c>
      <c r="D53" s="163"/>
      <c r="E53" s="89">
        <v>6556</v>
      </c>
      <c r="F53" s="90">
        <f t="shared" si="0"/>
        <v>4.203</v>
      </c>
      <c r="G53" s="91">
        <f t="shared" si="1"/>
        <v>0</v>
      </c>
      <c r="H53" s="94">
        <v>21</v>
      </c>
      <c r="I53" s="94"/>
      <c r="J53" s="89">
        <f t="shared" si="4"/>
        <v>6556</v>
      </c>
      <c r="K53" s="90">
        <f t="shared" si="2"/>
        <v>4.203</v>
      </c>
      <c r="L53" s="67">
        <f t="shared" si="7"/>
        <v>578.7</v>
      </c>
      <c r="M53" s="67">
        <f t="shared" si="3"/>
        <v>0</v>
      </c>
      <c r="N53" s="67">
        <f t="shared" si="5"/>
        <v>578.7</v>
      </c>
      <c r="O53" s="123">
        <v>498</v>
      </c>
      <c r="P53" s="68">
        <f t="shared" si="8"/>
        <v>-80.70000000000005</v>
      </c>
      <c r="Q53" s="68">
        <f>'[1]2019'!$BC49</f>
        <v>578.7</v>
      </c>
      <c r="R53" s="68">
        <f t="shared" si="6"/>
        <v>0</v>
      </c>
    </row>
    <row r="54" spans="1:18" s="68" customFormat="1" ht="34.5" customHeight="1">
      <c r="A54" s="65">
        <v>47</v>
      </c>
      <c r="B54" s="69" t="s">
        <v>44</v>
      </c>
      <c r="C54" s="99">
        <v>35460</v>
      </c>
      <c r="D54" s="167"/>
      <c r="E54" s="89">
        <v>6556</v>
      </c>
      <c r="F54" s="90">
        <f t="shared" si="0"/>
        <v>5.409</v>
      </c>
      <c r="G54" s="91">
        <f t="shared" si="1"/>
        <v>0</v>
      </c>
      <c r="H54" s="94">
        <v>10</v>
      </c>
      <c r="I54" s="94"/>
      <c r="J54" s="89">
        <f t="shared" si="4"/>
        <v>6556</v>
      </c>
      <c r="K54" s="90">
        <f t="shared" si="2"/>
        <v>5.409</v>
      </c>
      <c r="L54" s="67">
        <f t="shared" si="7"/>
        <v>354.6</v>
      </c>
      <c r="M54" s="67">
        <f t="shared" si="3"/>
        <v>0</v>
      </c>
      <c r="N54" s="67">
        <f t="shared" si="5"/>
        <v>354.6</v>
      </c>
      <c r="O54" s="123">
        <v>308.2</v>
      </c>
      <c r="P54" s="68">
        <f t="shared" si="8"/>
        <v>-46.400000000000034</v>
      </c>
      <c r="Q54" s="68">
        <f>'[1]2019'!$BC50</f>
        <v>354.6</v>
      </c>
      <c r="R54" s="68">
        <f t="shared" si="6"/>
        <v>0</v>
      </c>
    </row>
    <row r="55" spans="1:18" s="70" customFormat="1" ht="31.5">
      <c r="A55" s="65">
        <v>48</v>
      </c>
      <c r="B55" s="69" t="s">
        <v>45</v>
      </c>
      <c r="C55" s="99">
        <v>25130</v>
      </c>
      <c r="D55" s="167"/>
      <c r="E55" s="89">
        <v>6556</v>
      </c>
      <c r="F55" s="90">
        <f t="shared" si="0"/>
        <v>3.833</v>
      </c>
      <c r="G55" s="91">
        <f t="shared" si="1"/>
        <v>0</v>
      </c>
      <c r="H55" s="94">
        <v>20</v>
      </c>
      <c r="I55" s="94"/>
      <c r="J55" s="89">
        <f t="shared" si="4"/>
        <v>6556</v>
      </c>
      <c r="K55" s="90">
        <f t="shared" si="2"/>
        <v>3.833</v>
      </c>
      <c r="L55" s="67">
        <f t="shared" si="7"/>
        <v>502.6</v>
      </c>
      <c r="M55" s="67">
        <f t="shared" si="3"/>
        <v>0</v>
      </c>
      <c r="N55" s="67">
        <f t="shared" si="5"/>
        <v>502.6</v>
      </c>
      <c r="O55" s="123">
        <v>449.6</v>
      </c>
      <c r="P55" s="68">
        <f t="shared" si="8"/>
        <v>-53</v>
      </c>
      <c r="Q55" s="68">
        <f>'[1]2019'!$BC51</f>
        <v>502.6</v>
      </c>
      <c r="R55" s="68">
        <f t="shared" si="6"/>
        <v>0</v>
      </c>
    </row>
    <row r="56" spans="1:18" s="71" customFormat="1" ht="56.25" customHeight="1">
      <c r="A56" s="176"/>
      <c r="B56" s="173" t="s">
        <v>50</v>
      </c>
      <c r="C56" s="177"/>
      <c r="D56" s="44">
        <f>SUM(D8:D55)</f>
        <v>578</v>
      </c>
      <c r="E56" s="118"/>
      <c r="F56" s="178"/>
      <c r="G56" s="179"/>
      <c r="H56" s="44">
        <f>SUM(H8:H55)</f>
        <v>2862</v>
      </c>
      <c r="I56" s="44">
        <f>SUM(I8:I55)</f>
        <v>335</v>
      </c>
      <c r="J56" s="118"/>
      <c r="K56" s="180"/>
      <c r="L56" s="181">
        <f aca="true" t="shared" si="9" ref="L56:R56">SUM(L8:L55)</f>
        <v>46036.99999999999</v>
      </c>
      <c r="M56" s="181">
        <f t="shared" si="9"/>
        <v>4015.9</v>
      </c>
      <c r="N56" s="181">
        <f t="shared" si="9"/>
        <v>59267.69999999999</v>
      </c>
      <c r="O56" s="129">
        <f t="shared" si="9"/>
        <v>46990.4</v>
      </c>
      <c r="P56" s="129">
        <f t="shared" si="9"/>
        <v>-2756.9</v>
      </c>
      <c r="Q56" s="129">
        <f t="shared" si="9"/>
        <v>59267.69999999999</v>
      </c>
      <c r="R56" s="129">
        <f t="shared" si="9"/>
        <v>0</v>
      </c>
    </row>
    <row r="57" spans="1:14" s="127" customFormat="1" ht="15.75">
      <c r="A57" s="130"/>
      <c r="B57" s="131"/>
      <c r="C57" s="169"/>
      <c r="D57" s="132"/>
      <c r="E57" s="133"/>
      <c r="F57" s="134"/>
      <c r="G57" s="135"/>
      <c r="H57" s="132"/>
      <c r="I57" s="132"/>
      <c r="J57" s="133"/>
      <c r="K57" s="136"/>
      <c r="L57" s="137"/>
      <c r="M57" s="137"/>
      <c r="N57" s="137"/>
    </row>
    <row r="58" spans="1:14" s="127" customFormat="1" ht="15.75">
      <c r="A58" s="130"/>
      <c r="B58" s="131"/>
      <c r="C58" s="169"/>
      <c r="D58" s="138"/>
      <c r="E58" s="133"/>
      <c r="F58" s="134"/>
      <c r="G58" s="135"/>
      <c r="H58" s="132"/>
      <c r="I58" s="138"/>
      <c r="J58" s="133"/>
      <c r="K58" s="136"/>
      <c r="L58" s="137"/>
      <c r="M58" s="137"/>
      <c r="N58" s="137"/>
    </row>
    <row r="59" spans="1:14" s="128" customFormat="1" ht="15.75">
      <c r="A59" s="139"/>
      <c r="B59" s="140"/>
      <c r="C59" s="140"/>
      <c r="D59" s="141"/>
      <c r="E59" s="142"/>
      <c r="F59" s="142"/>
      <c r="G59" s="143"/>
      <c r="H59" s="141"/>
      <c r="I59" s="141"/>
      <c r="J59" s="142"/>
      <c r="K59" s="142"/>
      <c r="L59" s="144"/>
      <c r="M59" s="144"/>
      <c r="N59" s="144"/>
    </row>
    <row r="60" spans="1:11" s="62" customFormat="1" ht="18" customHeight="1">
      <c r="A60" s="145"/>
      <c r="B60" s="72"/>
      <c r="C60" s="72"/>
      <c r="D60" s="72"/>
      <c r="E60" s="73"/>
      <c r="F60" s="73"/>
      <c r="G60" s="73"/>
      <c r="H60" s="73"/>
      <c r="I60" s="73"/>
      <c r="J60" s="73"/>
      <c r="K60" s="73"/>
    </row>
    <row r="61" spans="1:11" ht="15.75">
      <c r="A61" s="74"/>
      <c r="B61" s="75"/>
      <c r="C61" s="75"/>
      <c r="D61" s="75"/>
      <c r="E61" s="76"/>
      <c r="F61" s="76"/>
      <c r="G61" s="76"/>
      <c r="H61" s="76"/>
      <c r="I61" s="76"/>
      <c r="J61" s="76"/>
      <c r="K61" s="76"/>
    </row>
    <row r="62" spans="1:11" ht="15.75">
      <c r="A62" s="74"/>
      <c r="B62" s="75"/>
      <c r="C62" s="75"/>
      <c r="D62" s="75"/>
      <c r="E62" s="77"/>
      <c r="F62" s="77"/>
      <c r="G62" s="77"/>
      <c r="H62" s="78"/>
      <c r="I62" s="78"/>
      <c r="J62" s="78"/>
      <c r="K62" s="78"/>
    </row>
    <row r="63" spans="1:11" ht="15.75">
      <c r="A63" s="74"/>
      <c r="B63" s="75"/>
      <c r="C63" s="75"/>
      <c r="D63" s="75"/>
      <c r="E63" s="77"/>
      <c r="F63" s="77"/>
      <c r="G63" s="77"/>
      <c r="H63" s="78"/>
      <c r="I63" s="78"/>
      <c r="J63" s="78"/>
      <c r="K63" s="78"/>
    </row>
    <row r="64" spans="1:11" ht="15.75">
      <c r="A64" s="74"/>
      <c r="B64" s="75"/>
      <c r="C64" s="75"/>
      <c r="D64" s="75"/>
      <c r="E64" s="77"/>
      <c r="F64" s="77"/>
      <c r="G64" s="77"/>
      <c r="H64" s="78"/>
      <c r="I64" s="78"/>
      <c r="J64" s="78"/>
      <c r="K64" s="78"/>
    </row>
    <row r="65" spans="1:11" ht="15.75">
      <c r="A65" s="74"/>
      <c r="B65" s="79"/>
      <c r="C65" s="79"/>
      <c r="D65" s="79"/>
      <c r="E65" s="79"/>
      <c r="F65" s="79"/>
      <c r="G65" s="79"/>
      <c r="H65" s="78"/>
      <c r="I65" s="78"/>
      <c r="J65" s="78"/>
      <c r="K65" s="78"/>
    </row>
    <row r="66" spans="1:11" ht="15.75">
      <c r="A66" s="74"/>
      <c r="B66" s="79"/>
      <c r="C66" s="79"/>
      <c r="D66" s="79"/>
      <c r="E66" s="79"/>
      <c r="F66" s="79"/>
      <c r="G66" s="79"/>
      <c r="H66" s="78"/>
      <c r="I66" s="78"/>
      <c r="J66" s="78"/>
      <c r="K66" s="78"/>
    </row>
    <row r="67" spans="1:11" ht="16.5" customHeight="1">
      <c r="A67" s="74"/>
      <c r="B67" s="75"/>
      <c r="C67" s="75"/>
      <c r="D67" s="75"/>
      <c r="E67" s="75"/>
      <c r="F67" s="75"/>
      <c r="G67" s="75"/>
      <c r="H67" s="78"/>
      <c r="I67" s="78"/>
      <c r="J67" s="78"/>
      <c r="K67" s="78"/>
    </row>
    <row r="68" spans="1:11" ht="15.75">
      <c r="A68" s="74"/>
      <c r="B68" s="75"/>
      <c r="C68" s="75"/>
      <c r="D68" s="75"/>
      <c r="E68" s="75"/>
      <c r="F68" s="75"/>
      <c r="G68" s="75"/>
      <c r="H68" s="78"/>
      <c r="I68" s="78"/>
      <c r="J68" s="78"/>
      <c r="K68" s="78"/>
    </row>
    <row r="69" spans="1:11" ht="15.75">
      <c r="A69" s="74"/>
      <c r="B69" s="75"/>
      <c r="C69" s="75"/>
      <c r="D69" s="75"/>
      <c r="E69" s="75"/>
      <c r="F69" s="75"/>
      <c r="G69" s="75"/>
      <c r="H69" s="78"/>
      <c r="I69" s="78"/>
      <c r="J69" s="78"/>
      <c r="K69" s="78"/>
    </row>
    <row r="70" spans="1:11" ht="15.75">
      <c r="A70" s="74"/>
      <c r="B70" s="75"/>
      <c r="C70" s="75"/>
      <c r="D70" s="75"/>
      <c r="E70" s="75"/>
      <c r="F70" s="75"/>
      <c r="G70" s="75"/>
      <c r="H70" s="78"/>
      <c r="I70" s="78"/>
      <c r="J70" s="78"/>
      <c r="K70" s="78"/>
    </row>
    <row r="71" spans="1:11" ht="15.75">
      <c r="A71" s="74"/>
      <c r="B71" s="75"/>
      <c r="C71" s="75"/>
      <c r="D71" s="75"/>
      <c r="E71" s="75"/>
      <c r="F71" s="75"/>
      <c r="G71" s="75"/>
      <c r="H71" s="78"/>
      <c r="I71" s="78"/>
      <c r="J71" s="78"/>
      <c r="K71" s="78"/>
    </row>
    <row r="72" spans="1:11" ht="15.75">
      <c r="A72" s="74"/>
      <c r="B72" s="75"/>
      <c r="C72" s="75"/>
      <c r="D72" s="75"/>
      <c r="E72" s="75"/>
      <c r="F72" s="75"/>
      <c r="G72" s="75"/>
      <c r="H72" s="78"/>
      <c r="I72" s="78"/>
      <c r="J72" s="78"/>
      <c r="K72" s="78"/>
    </row>
    <row r="73" spans="1:11" ht="15.75">
      <c r="A73" s="74"/>
      <c r="B73" s="80"/>
      <c r="C73" s="80"/>
      <c r="D73" s="80"/>
      <c r="E73" s="80"/>
      <c r="F73" s="80"/>
      <c r="G73" s="80"/>
      <c r="H73" s="81"/>
      <c r="I73" s="81"/>
      <c r="J73" s="81"/>
      <c r="K73" s="81"/>
    </row>
    <row r="74" spans="1:11" s="82" customFormat="1" ht="16.5" customHeight="1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</row>
    <row r="75" spans="1:11" ht="15.75">
      <c r="A75" s="74"/>
      <c r="B75" s="79"/>
      <c r="C75" s="79"/>
      <c r="D75" s="79"/>
      <c r="E75" s="79"/>
      <c r="F75" s="79"/>
      <c r="G75" s="79"/>
      <c r="H75" s="78"/>
      <c r="I75" s="78"/>
      <c r="J75" s="78"/>
      <c r="K75" s="78"/>
    </row>
    <row r="76" spans="1:11" ht="15.75">
      <c r="A76" s="74"/>
      <c r="B76" s="79"/>
      <c r="C76" s="79"/>
      <c r="D76" s="79"/>
      <c r="E76" s="79"/>
      <c r="F76" s="79"/>
      <c r="G76" s="79"/>
      <c r="H76" s="78"/>
      <c r="I76" s="78"/>
      <c r="J76" s="78"/>
      <c r="K76" s="78"/>
    </row>
    <row r="77" spans="1:11" ht="15.75">
      <c r="A77" s="74"/>
      <c r="B77" s="79"/>
      <c r="C77" s="79"/>
      <c r="D77" s="79"/>
      <c r="E77" s="79"/>
      <c r="F77" s="79"/>
      <c r="G77" s="79"/>
      <c r="H77" s="78"/>
      <c r="I77" s="78"/>
      <c r="J77" s="78"/>
      <c r="K77" s="78"/>
    </row>
    <row r="78" spans="1:11" ht="15.75">
      <c r="A78" s="74"/>
      <c r="B78" s="79"/>
      <c r="C78" s="79"/>
      <c r="D78" s="79"/>
      <c r="E78" s="79"/>
      <c r="F78" s="79"/>
      <c r="G78" s="79"/>
      <c r="H78" s="78"/>
      <c r="I78" s="78"/>
      <c r="J78" s="78"/>
      <c r="K78" s="78"/>
    </row>
    <row r="79" spans="1:11" ht="18" customHeight="1">
      <c r="A79" s="74"/>
      <c r="B79" s="79"/>
      <c r="C79" s="79"/>
      <c r="D79" s="79"/>
      <c r="E79" s="79"/>
      <c r="F79" s="79"/>
      <c r="G79" s="79"/>
      <c r="H79" s="78"/>
      <c r="I79" s="78"/>
      <c r="J79" s="78"/>
      <c r="K79" s="78"/>
    </row>
    <row r="80" spans="1:11" ht="15.75">
      <c r="A80" s="74"/>
      <c r="B80" s="79"/>
      <c r="C80" s="79"/>
      <c r="D80" s="79"/>
      <c r="E80" s="79"/>
      <c r="F80" s="79"/>
      <c r="G80" s="79"/>
      <c r="H80" s="78"/>
      <c r="I80" s="78"/>
      <c r="J80" s="78"/>
      <c r="K80" s="78"/>
    </row>
    <row r="81" spans="1:11" ht="15.75">
      <c r="A81" s="74"/>
      <c r="B81" s="79"/>
      <c r="C81" s="79"/>
      <c r="D81" s="79"/>
      <c r="E81" s="79"/>
      <c r="F81" s="79"/>
      <c r="G81" s="79"/>
      <c r="H81" s="78"/>
      <c r="I81" s="78"/>
      <c r="J81" s="78"/>
      <c r="K81" s="78"/>
    </row>
    <row r="82" spans="1:11" ht="15.75">
      <c r="A82" s="74"/>
      <c r="B82" s="79"/>
      <c r="C82" s="79"/>
      <c r="D82" s="79"/>
      <c r="E82" s="79"/>
      <c r="F82" s="79"/>
      <c r="G82" s="79"/>
      <c r="H82" s="78"/>
      <c r="I82" s="78"/>
      <c r="J82" s="78"/>
      <c r="K82" s="78"/>
    </row>
    <row r="83" spans="1:11" ht="15.75">
      <c r="A83" s="74"/>
      <c r="B83" s="79"/>
      <c r="C83" s="79"/>
      <c r="D83" s="79"/>
      <c r="E83" s="79"/>
      <c r="F83" s="79"/>
      <c r="G83" s="79"/>
      <c r="H83" s="78"/>
      <c r="I83" s="78"/>
      <c r="J83" s="78"/>
      <c r="K83" s="78"/>
    </row>
    <row r="84" spans="1:11" ht="15.75">
      <c r="A84" s="74"/>
      <c r="B84" s="79"/>
      <c r="C84" s="79"/>
      <c r="D84" s="79"/>
      <c r="E84" s="79"/>
      <c r="F84" s="79"/>
      <c r="G84" s="79"/>
      <c r="H84" s="78"/>
      <c r="I84" s="78"/>
      <c r="J84" s="78"/>
      <c r="K84" s="78"/>
    </row>
    <row r="85" spans="1:11" ht="15.75">
      <c r="A85" s="74"/>
      <c r="B85" s="75"/>
      <c r="C85" s="75"/>
      <c r="D85" s="75"/>
      <c r="E85" s="75"/>
      <c r="F85" s="75"/>
      <c r="G85" s="75"/>
      <c r="H85" s="78"/>
      <c r="I85" s="78"/>
      <c r="J85" s="78"/>
      <c r="K85" s="78"/>
    </row>
    <row r="86" spans="1:11" ht="15.75">
      <c r="A86" s="74"/>
      <c r="B86" s="75"/>
      <c r="C86" s="75"/>
      <c r="D86" s="75"/>
      <c r="E86" s="75"/>
      <c r="F86" s="75"/>
      <c r="G86" s="75"/>
      <c r="H86" s="78"/>
      <c r="I86" s="78"/>
      <c r="J86" s="78"/>
      <c r="K86" s="78"/>
    </row>
    <row r="87" spans="1:11" ht="15.75">
      <c r="A87" s="74"/>
      <c r="B87" s="75"/>
      <c r="C87" s="75"/>
      <c r="D87" s="75"/>
      <c r="E87" s="75"/>
      <c r="F87" s="75"/>
      <c r="G87" s="75"/>
      <c r="H87" s="78"/>
      <c r="I87" s="78"/>
      <c r="J87" s="78"/>
      <c r="K87" s="78"/>
    </row>
    <row r="88" spans="1:11" ht="15.75">
      <c r="A88" s="74"/>
      <c r="B88" s="75"/>
      <c r="C88" s="75"/>
      <c r="D88" s="75"/>
      <c r="E88" s="75"/>
      <c r="F88" s="75"/>
      <c r="G88" s="75"/>
      <c r="H88" s="78"/>
      <c r="I88" s="78"/>
      <c r="J88" s="78"/>
      <c r="K88" s="78"/>
    </row>
    <row r="89" spans="1:11" ht="15.75">
      <c r="A89" s="74"/>
      <c r="B89" s="75"/>
      <c r="C89" s="75"/>
      <c r="D89" s="75"/>
      <c r="E89" s="75"/>
      <c r="F89" s="75"/>
      <c r="G89" s="75"/>
      <c r="H89" s="78"/>
      <c r="I89" s="78"/>
      <c r="J89" s="78"/>
      <c r="K89" s="78"/>
    </row>
    <row r="90" spans="1:11" ht="15.75">
      <c r="A90" s="74"/>
      <c r="B90" s="75"/>
      <c r="C90" s="75"/>
      <c r="D90" s="75"/>
      <c r="E90" s="75"/>
      <c r="F90" s="75"/>
      <c r="G90" s="75"/>
      <c r="H90" s="78"/>
      <c r="I90" s="78"/>
      <c r="J90" s="78"/>
      <c r="K90" s="78"/>
    </row>
    <row r="91" spans="1:11" ht="15.75">
      <c r="A91" s="74"/>
      <c r="B91" s="75"/>
      <c r="C91" s="75"/>
      <c r="D91" s="75"/>
      <c r="E91" s="75"/>
      <c r="F91" s="75"/>
      <c r="G91" s="75"/>
      <c r="H91" s="78"/>
      <c r="I91" s="78"/>
      <c r="J91" s="78"/>
      <c r="K91" s="78"/>
    </row>
    <row r="92" spans="1:11" ht="15.75">
      <c r="A92" s="74"/>
      <c r="B92" s="75"/>
      <c r="C92" s="75"/>
      <c r="D92" s="75"/>
      <c r="E92" s="75"/>
      <c r="F92" s="75"/>
      <c r="G92" s="75"/>
      <c r="H92" s="78"/>
      <c r="I92" s="78"/>
      <c r="J92" s="78"/>
      <c r="K92" s="78"/>
    </row>
    <row r="93" spans="1:11" ht="15.75">
      <c r="A93" s="74"/>
      <c r="B93" s="75"/>
      <c r="C93" s="75"/>
      <c r="D93" s="75"/>
      <c r="E93" s="75"/>
      <c r="F93" s="75"/>
      <c r="G93" s="75"/>
      <c r="H93" s="78"/>
      <c r="I93" s="78"/>
      <c r="J93" s="78"/>
      <c r="K93" s="78"/>
    </row>
    <row r="94" spans="1:11" ht="15.75">
      <c r="A94" s="74"/>
      <c r="B94" s="75"/>
      <c r="C94" s="75"/>
      <c r="D94" s="75"/>
      <c r="E94" s="75"/>
      <c r="F94" s="75"/>
      <c r="G94" s="75"/>
      <c r="H94" s="78"/>
      <c r="I94" s="78"/>
      <c r="J94" s="78"/>
      <c r="K94" s="78"/>
    </row>
    <row r="95" spans="1:11" ht="15.75">
      <c r="A95" s="74"/>
      <c r="B95" s="75"/>
      <c r="C95" s="75"/>
      <c r="D95" s="75"/>
      <c r="E95" s="75"/>
      <c r="F95" s="75"/>
      <c r="G95" s="75"/>
      <c r="H95" s="78"/>
      <c r="I95" s="78"/>
      <c r="J95" s="78"/>
      <c r="K95" s="78"/>
    </row>
    <row r="96" spans="1:11" ht="15.75">
      <c r="A96" s="74"/>
      <c r="B96" s="75"/>
      <c r="C96" s="75"/>
      <c r="D96" s="75"/>
      <c r="E96" s="75"/>
      <c r="F96" s="75"/>
      <c r="G96" s="75"/>
      <c r="H96" s="78"/>
      <c r="I96" s="78"/>
      <c r="J96" s="78"/>
      <c r="K96" s="78"/>
    </row>
    <row r="97" spans="1:11" ht="15.75">
      <c r="A97" s="74"/>
      <c r="B97" s="75"/>
      <c r="C97" s="75"/>
      <c r="D97" s="75"/>
      <c r="E97" s="75"/>
      <c r="F97" s="75"/>
      <c r="G97" s="75"/>
      <c r="H97" s="78"/>
      <c r="I97" s="78"/>
      <c r="J97" s="78"/>
      <c r="K97" s="78"/>
    </row>
    <row r="98" spans="1:11" ht="15.75">
      <c r="A98" s="74"/>
      <c r="B98" s="75"/>
      <c r="C98" s="75"/>
      <c r="D98" s="75"/>
      <c r="E98" s="75"/>
      <c r="F98" s="75"/>
      <c r="G98" s="75"/>
      <c r="H98" s="78"/>
      <c r="I98" s="78"/>
      <c r="J98" s="78"/>
      <c r="K98" s="78"/>
    </row>
    <row r="99" spans="1:11" ht="15.75">
      <c r="A99" s="74"/>
      <c r="B99" s="75"/>
      <c r="C99" s="75"/>
      <c r="D99" s="75"/>
      <c r="E99" s="75"/>
      <c r="F99" s="75"/>
      <c r="G99" s="75"/>
      <c r="H99" s="78"/>
      <c r="I99" s="78"/>
      <c r="J99" s="78"/>
      <c r="K99" s="78"/>
    </row>
    <row r="100" spans="1:11" ht="15.75">
      <c r="A100" s="74"/>
      <c r="B100" s="75"/>
      <c r="C100" s="75"/>
      <c r="D100" s="75"/>
      <c r="E100" s="75"/>
      <c r="F100" s="75"/>
      <c r="G100" s="75"/>
      <c r="H100" s="78"/>
      <c r="I100" s="78"/>
      <c r="J100" s="78"/>
      <c r="K100" s="78"/>
    </row>
    <row r="101" spans="1:11" ht="15.75">
      <c r="A101" s="74"/>
      <c r="B101" s="75"/>
      <c r="C101" s="75"/>
      <c r="D101" s="75"/>
      <c r="E101" s="75"/>
      <c r="F101" s="75"/>
      <c r="G101" s="75"/>
      <c r="H101" s="78"/>
      <c r="I101" s="78"/>
      <c r="J101" s="78"/>
      <c r="K101" s="78"/>
    </row>
    <row r="102" spans="1:11" ht="15.75">
      <c r="A102" s="74"/>
      <c r="B102" s="75"/>
      <c r="C102" s="75"/>
      <c r="D102" s="75"/>
      <c r="E102" s="75"/>
      <c r="F102" s="75"/>
      <c r="G102" s="75"/>
      <c r="H102" s="78"/>
      <c r="I102" s="78"/>
      <c r="J102" s="78"/>
      <c r="K102" s="78"/>
    </row>
    <row r="103" spans="1:11" ht="15.75">
      <c r="A103" s="74"/>
      <c r="B103" s="75"/>
      <c r="C103" s="75"/>
      <c r="D103" s="75"/>
      <c r="E103" s="75"/>
      <c r="F103" s="75"/>
      <c r="G103" s="75"/>
      <c r="H103" s="78"/>
      <c r="I103" s="78"/>
      <c r="J103" s="78"/>
      <c r="K103" s="78"/>
    </row>
    <row r="104" spans="1:11" ht="15.75">
      <c r="A104" s="74"/>
      <c r="B104" s="75"/>
      <c r="C104" s="75"/>
      <c r="D104" s="75"/>
      <c r="E104" s="75"/>
      <c r="F104" s="75"/>
      <c r="G104" s="75"/>
      <c r="H104" s="78"/>
      <c r="I104" s="78"/>
      <c r="J104" s="78"/>
      <c r="K104" s="78"/>
    </row>
    <row r="105" spans="1:11" ht="15.75">
      <c r="A105" s="74"/>
      <c r="B105" s="75"/>
      <c r="C105" s="75"/>
      <c r="D105" s="75"/>
      <c r="E105" s="75"/>
      <c r="F105" s="75"/>
      <c r="G105" s="75"/>
      <c r="H105" s="78"/>
      <c r="I105" s="78"/>
      <c r="J105" s="78"/>
      <c r="K105" s="78"/>
    </row>
    <row r="106" spans="1:11" ht="15.75">
      <c r="A106" s="74"/>
      <c r="B106" s="75"/>
      <c r="C106" s="75"/>
      <c r="D106" s="75"/>
      <c r="E106" s="75"/>
      <c r="F106" s="75"/>
      <c r="G106" s="75"/>
      <c r="H106" s="78"/>
      <c r="I106" s="78"/>
      <c r="J106" s="78"/>
      <c r="K106" s="78"/>
    </row>
    <row r="107" spans="1:11" ht="15.75">
      <c r="A107" s="74"/>
      <c r="B107" s="75"/>
      <c r="C107" s="75"/>
      <c r="D107" s="75"/>
      <c r="E107" s="75"/>
      <c r="F107" s="75"/>
      <c r="G107" s="75"/>
      <c r="H107" s="78"/>
      <c r="I107" s="78"/>
      <c r="J107" s="78"/>
      <c r="K107" s="78"/>
    </row>
    <row r="108" spans="1:11" ht="15.75">
      <c r="A108" s="74"/>
      <c r="B108" s="75"/>
      <c r="C108" s="75"/>
      <c r="D108" s="75"/>
      <c r="E108" s="75"/>
      <c r="F108" s="75"/>
      <c r="G108" s="75"/>
      <c r="H108" s="78"/>
      <c r="I108" s="78"/>
      <c r="J108" s="78"/>
      <c r="K108" s="78"/>
    </row>
    <row r="109" spans="1:11" ht="15.75">
      <c r="A109" s="74"/>
      <c r="B109" s="75"/>
      <c r="C109" s="75"/>
      <c r="D109" s="75"/>
      <c r="E109" s="75"/>
      <c r="F109" s="75"/>
      <c r="G109" s="75"/>
      <c r="H109" s="78"/>
      <c r="I109" s="78"/>
      <c r="J109" s="78"/>
      <c r="K109" s="78"/>
    </row>
    <row r="110" spans="1:11" ht="15.75">
      <c r="A110" s="74"/>
      <c r="B110" s="75"/>
      <c r="C110" s="75"/>
      <c r="D110" s="75"/>
      <c r="E110" s="75"/>
      <c r="F110" s="75"/>
      <c r="G110" s="75"/>
      <c r="H110" s="78"/>
      <c r="I110" s="78"/>
      <c r="J110" s="78"/>
      <c r="K110" s="78"/>
    </row>
    <row r="111" spans="1:11" ht="15.75">
      <c r="A111" s="74"/>
      <c r="B111" s="75"/>
      <c r="C111" s="75"/>
      <c r="D111" s="75"/>
      <c r="E111" s="75"/>
      <c r="F111" s="75"/>
      <c r="G111" s="75"/>
      <c r="H111" s="78"/>
      <c r="I111" s="78"/>
      <c r="J111" s="78"/>
      <c r="K111" s="78"/>
    </row>
    <row r="112" spans="1:11" ht="15.75">
      <c r="A112" s="74"/>
      <c r="B112" s="75"/>
      <c r="C112" s="75"/>
      <c r="D112" s="75"/>
      <c r="E112" s="75"/>
      <c r="F112" s="75"/>
      <c r="G112" s="75"/>
      <c r="H112" s="78"/>
      <c r="I112" s="78"/>
      <c r="J112" s="78"/>
      <c r="K112" s="78"/>
    </row>
    <row r="113" spans="1:11" ht="15.75">
      <c r="A113" s="74"/>
      <c r="B113" s="75"/>
      <c r="C113" s="75"/>
      <c r="D113" s="75"/>
      <c r="E113" s="75"/>
      <c r="F113" s="75"/>
      <c r="G113" s="75"/>
      <c r="H113" s="78"/>
      <c r="I113" s="78"/>
      <c r="J113" s="78"/>
      <c r="K113" s="78"/>
    </row>
    <row r="114" spans="1:11" ht="15.75">
      <c r="A114" s="74"/>
      <c r="B114" s="75"/>
      <c r="C114" s="75"/>
      <c r="D114" s="75"/>
      <c r="E114" s="75"/>
      <c r="F114" s="75"/>
      <c r="G114" s="75"/>
      <c r="H114" s="78"/>
      <c r="I114" s="78"/>
      <c r="J114" s="78"/>
      <c r="K114" s="78"/>
    </row>
    <row r="115" spans="1:11" ht="15.75">
      <c r="A115" s="74"/>
      <c r="B115" s="75"/>
      <c r="C115" s="75"/>
      <c r="D115" s="75"/>
      <c r="E115" s="75"/>
      <c r="F115" s="75"/>
      <c r="G115" s="75"/>
      <c r="H115" s="78"/>
      <c r="I115" s="78"/>
      <c r="J115" s="78"/>
      <c r="K115" s="78"/>
    </row>
    <row r="116" spans="1:11" ht="15.75">
      <c r="A116" s="74"/>
      <c r="B116" s="75"/>
      <c r="C116" s="75"/>
      <c r="D116" s="75"/>
      <c r="E116" s="75"/>
      <c r="F116" s="75"/>
      <c r="G116" s="75"/>
      <c r="H116" s="78"/>
      <c r="I116" s="78"/>
      <c r="J116" s="78"/>
      <c r="K116" s="78"/>
    </row>
    <row r="117" spans="1:11" ht="15.75">
      <c r="A117" s="74"/>
      <c r="B117" s="75"/>
      <c r="C117" s="75"/>
      <c r="D117" s="75"/>
      <c r="E117" s="75"/>
      <c r="F117" s="75"/>
      <c r="G117" s="75"/>
      <c r="H117" s="78"/>
      <c r="I117" s="78"/>
      <c r="J117" s="78"/>
      <c r="K117" s="78"/>
    </row>
    <row r="118" spans="1:11" ht="15.75">
      <c r="A118" s="74"/>
      <c r="B118" s="75"/>
      <c r="C118" s="75"/>
      <c r="D118" s="75"/>
      <c r="E118" s="75"/>
      <c r="F118" s="75"/>
      <c r="G118" s="75"/>
      <c r="H118" s="78"/>
      <c r="I118" s="78"/>
      <c r="J118" s="78"/>
      <c r="K118" s="78"/>
    </row>
    <row r="119" spans="1:11" ht="15.75">
      <c r="A119" s="83"/>
      <c r="B119" s="84"/>
      <c r="C119" s="84"/>
      <c r="D119" s="84"/>
      <c r="E119" s="84"/>
      <c r="F119" s="84"/>
      <c r="G119" s="84"/>
      <c r="H119" s="81"/>
      <c r="I119" s="81"/>
      <c r="J119" s="81"/>
      <c r="K119" s="81"/>
    </row>
    <row r="120" spans="1:11" ht="15.75">
      <c r="A120" s="84"/>
      <c r="B120" s="84"/>
      <c r="C120" s="84"/>
      <c r="D120" s="84"/>
      <c r="E120" s="84"/>
      <c r="F120" s="84"/>
      <c r="G120" s="84"/>
      <c r="H120" s="85"/>
      <c r="I120" s="85"/>
      <c r="J120" s="85"/>
      <c r="K120" s="85"/>
    </row>
    <row r="121" spans="1:11" ht="15.75">
      <c r="A121" s="83"/>
      <c r="B121" s="83"/>
      <c r="C121" s="83"/>
      <c r="D121" s="83"/>
      <c r="E121" s="83"/>
      <c r="F121" s="83"/>
      <c r="G121" s="83"/>
      <c r="H121" s="78"/>
      <c r="I121" s="78"/>
      <c r="J121" s="78"/>
      <c r="K121" s="78"/>
    </row>
  </sheetData>
  <sheetProtection/>
  <mergeCells count="21">
    <mergeCell ref="C3:F3"/>
    <mergeCell ref="G1:H1"/>
    <mergeCell ref="A3:A6"/>
    <mergeCell ref="B3:B6"/>
    <mergeCell ref="G3:J3"/>
    <mergeCell ref="H5:I5"/>
    <mergeCell ref="N5:N6"/>
    <mergeCell ref="K3:N3"/>
    <mergeCell ref="G4:J4"/>
    <mergeCell ref="K4:N4"/>
    <mergeCell ref="C5:C6"/>
    <mergeCell ref="F2:H2"/>
    <mergeCell ref="A74:K74"/>
    <mergeCell ref="J5:J6"/>
    <mergeCell ref="K5:K6"/>
    <mergeCell ref="L5:L6"/>
    <mergeCell ref="M5:M6"/>
    <mergeCell ref="E5:E6"/>
    <mergeCell ref="F5:F6"/>
    <mergeCell ref="G5:G6"/>
    <mergeCell ref="C4:F4"/>
  </mergeCells>
  <printOptions horizontalCentered="1"/>
  <pageMargins left="0" right="0" top="0.3937007874015748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2019-04-24T14:17:56Z</cp:lastPrinted>
  <dcterms:created xsi:type="dcterms:W3CDTF">2005-01-25T12:19:56Z</dcterms:created>
  <dcterms:modified xsi:type="dcterms:W3CDTF">2019-04-30T14:00:34Z</dcterms:modified>
  <cp:category/>
  <cp:version/>
  <cp:contentType/>
  <cp:contentStatus/>
</cp:coreProperties>
</file>