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2120" windowHeight="8235" firstSheet="1" activeTab="3"/>
  </bookViews>
  <sheets>
    <sheet name="Расчёт баз. нормат.прил.1" sheetId="1" r:id="rId1"/>
    <sheet name="ФО непосредств.затрат" sheetId="2" r:id="rId2"/>
    <sheet name="ФО общехоз.затрат" sheetId="3" r:id="rId3"/>
    <sheet name="Полное финобеспечение" sheetId="4" r:id="rId4"/>
  </sheets>
  <externalReferences>
    <externalReference r:id="rId7"/>
  </externalReferences>
  <definedNames>
    <definedName name="_xlnm.Print_Titles" localSheetId="3">'Полное финобеспечение'!$A:$B,'Полное финобеспечение'!$3:$5</definedName>
    <definedName name="_xlnm.Print_Titles" localSheetId="0">'Расчёт баз. нормат.прил.1'!$A:$B,'Расчёт баз. нормат.прил.1'!$3:$6</definedName>
    <definedName name="_xlnm.Print_Titles" localSheetId="1">'ФО непосредств.затрат'!$A:$B,'ФО непосредств.затрат'!$3:$6</definedName>
    <definedName name="_xlnm.Print_Titles" localSheetId="2">'ФО общехоз.затрат'!$A:$B,'ФО общехоз.затрат'!$3:$6</definedName>
    <definedName name="_xlnm.Print_Area" localSheetId="3">'Полное финобеспечение'!$A$1:$C$52</definedName>
    <definedName name="_xlnm.Print_Area" localSheetId="0">'Расчёт баз. нормат.прил.1'!$A$1:$X$53</definedName>
    <definedName name="_xlnm.Print_Area" localSheetId="1">'ФО непосредств.затрат'!$A$1:$Y$53</definedName>
    <definedName name="_xlnm.Print_Area" localSheetId="2">'ФО общехоз.затрат'!$A$1:$T$53</definedName>
  </definedNames>
  <calcPr fullCalcOnLoad="1"/>
</workbook>
</file>

<file path=xl/sharedStrings.xml><?xml version="1.0" encoding="utf-8"?>
<sst xmlns="http://schemas.openxmlformats.org/spreadsheetml/2006/main" count="293" uniqueCount="96">
  <si>
    <t>№п/п</t>
  </si>
  <si>
    <t>МБДОУ ДС №1</t>
  </si>
  <si>
    <t>МБДОУ ДС №3</t>
  </si>
  <si>
    <t>МБДОУ ДС №6</t>
  </si>
  <si>
    <t>МБДОУ ДС №7</t>
  </si>
  <si>
    <t>МБДОУ ДС №8</t>
  </si>
  <si>
    <t>МБДОУ ДС №41</t>
  </si>
  <si>
    <t>МБДОУ ДС №42</t>
  </si>
  <si>
    <t>МБДОУ ДС №43</t>
  </si>
  <si>
    <t>МБДОУ ДС №46</t>
  </si>
  <si>
    <t>МБДОУ ДС №56</t>
  </si>
  <si>
    <t>МБДОУ ДС "Теремок"</t>
  </si>
  <si>
    <t>МБДОУ ДС №17</t>
  </si>
  <si>
    <t>МБДОУ ДС №19</t>
  </si>
  <si>
    <t>МБДОУ ДС №23</t>
  </si>
  <si>
    <t>МБДОУ ДС №25</t>
  </si>
  <si>
    <t>МБДОУ ДС №35</t>
  </si>
  <si>
    <t>МБДОУ ДС №36</t>
  </si>
  <si>
    <t>МБДОУ ДС №40</t>
  </si>
  <si>
    <t>МБДОУ ДС №45</t>
  </si>
  <si>
    <t>МБДОУ ДС №52</t>
  </si>
  <si>
    <t>МБДОУ ДС №59</t>
  </si>
  <si>
    <t>МБДОУ ДС №78</t>
  </si>
  <si>
    <t>МБДОУ ДС №87</t>
  </si>
  <si>
    <t>МБДОУ ДС №16</t>
  </si>
  <si>
    <t>МБДОУ ДС №15</t>
  </si>
  <si>
    <t>МБДОУ ДС №29</t>
  </si>
  <si>
    <t>МБДОУ ДС №32</t>
  </si>
  <si>
    <t>МБДОУ ДС №33</t>
  </si>
  <si>
    <t>МБДОУ ДС №34</t>
  </si>
  <si>
    <t>МБДОУ ДС №57</t>
  </si>
  <si>
    <t>МБДОУ ДС №58</t>
  </si>
  <si>
    <t>МБДОУ ДС №64</t>
  </si>
  <si>
    <t>МБДОУ ДС №66</t>
  </si>
  <si>
    <t>МБДОУ ДС №67</t>
  </si>
  <si>
    <t>МБДОУ ДС №70</t>
  </si>
  <si>
    <t>МБДОУ ДС №71</t>
  </si>
  <si>
    <t>МБДОУ ДС №72</t>
  </si>
  <si>
    <t>МБДОУ ДС №73</t>
  </si>
  <si>
    <t>МБДОУ ДС №75</t>
  </si>
  <si>
    <t>МБДОУ ДС №80</t>
  </si>
  <si>
    <t>МБДОУ ДС №82</t>
  </si>
  <si>
    <t>МБДОУ ДС №83</t>
  </si>
  <si>
    <t>МБДОУ ДС №106</t>
  </si>
  <si>
    <t>МБДОУ Погореловский ДС "Казачок"</t>
  </si>
  <si>
    <t>МБДОУ Какичевский ДС "Вишенка"</t>
  </si>
  <si>
    <t>Присмотр и уход</t>
  </si>
  <si>
    <t>денежная норма питания, руб./детодень</t>
  </si>
  <si>
    <t>родительская плата, руб./день</t>
  </si>
  <si>
    <t>потребители услуги</t>
  </si>
  <si>
    <t>базовый норматив на общехозяйственные нужды на одного ребенка , руб./год</t>
  </si>
  <si>
    <t>базовый норматив по присмотру и уходу за детьми от 1 года до 3 лет, руб./год</t>
  </si>
  <si>
    <t>базовый норматив по присмотру и уходу за детьми от 3 лет до 8 лет, руб./год</t>
  </si>
  <si>
    <t>полное финансовое обеспечение за счет затрат, непосредственно связанных с оказанием муниципальной услуги-бюджет, тыс. руб.</t>
  </si>
  <si>
    <t>финансовое обеспечение за счет затрат, непосредственно связанных с оказанием муниципальной услуги, физических лиц от 1 года до 3 лет за исключением льготных категорий-бюджет тыс. руб.</t>
  </si>
  <si>
    <t>финансовое обеспечение за счет затрат, непосредственно связанных с оказанием муниципальной услуги, детей -сирот и детей, оставшихся без попечения родителей, от 1 года до 3 лет-бюджет, тыс. руб.</t>
  </si>
  <si>
    <t>финансовое обеспечение за счет затрат, непосредственно связанных с оказанием муниципальной услуги, детей -инвалидов от 1 года до 3 лет-бюджет, тыс. руб.</t>
  </si>
  <si>
    <t>финансовое обеспечение за счет затрат, непосредственно связанных с оказанием муниципальной услуги, физических лиц от 3 лет до 8 лет за исключением льготных категорий-бюджет, тыс. руб.</t>
  </si>
  <si>
    <t>финансовое обеспечение за счет затрат, непосредственно связанных с оказанием муниципальной услуги, детей -инвалидов от 3 лет до 8 лет-бюджет, тыс. руб.</t>
  </si>
  <si>
    <t>финансовое обеспечение за счет затрат, непосредственно связанных с оказанием муниципальной услуги, детей -сирот и детей, оставшихся без попечения родителей, от 3 лет до 8 лет-бюдждет, тыс. руб.</t>
  </si>
  <si>
    <t>финансовое обеспечение за счет общехозяйственных затрат физических лиц от 1 года до 3 лет за исключением льготных категорий-бюджет, тыс. руб.</t>
  </si>
  <si>
    <t>финансовое обеспечение за счет общехозяйственных затрат от 1 года до 3 лет-бюдждет, тыс. руб.</t>
  </si>
  <si>
    <t>финансовое обеспечение за счет общехозяйственных затрат детей -инвалидов от 1 года до 3 лет-бюджет, тыс. руб.</t>
  </si>
  <si>
    <t>Наименование образовательной организации</t>
  </si>
  <si>
    <t>Приложение №1</t>
  </si>
  <si>
    <t>дети-инвалиды от 1 года до 3 лет, чел.</t>
  </si>
  <si>
    <t>физические лица от 1 года  до 3 лет за исключением льготных категорий, чел.</t>
  </si>
  <si>
    <t>дети-сироты и дети, оставшиеся без попечения родителей, от 1 года до 3 лет, чел.</t>
  </si>
  <si>
    <t>базовый норматив затрат, непосредственно связанных с оказанием муниицпальной услуги по присмотру и уходу, на одного ребенка в год, руб.</t>
  </si>
  <si>
    <t>нормативные затраты, непосредственно связанные с оказанием муниицпальной услуги по присмотру и уходу, на одного ребенка в год, руб.</t>
  </si>
  <si>
    <t xml:space="preserve"> затраты на общехозяйственные нужды на одного ребенка в год , руб.</t>
  </si>
  <si>
    <t>физические лица от 3 лет до 8 лет за исключением льготных категорий, чел.</t>
  </si>
  <si>
    <t>дети-сироты и дети, оставшиеся без попечения родителей, от 3 лет до 8 лет, чел.</t>
  </si>
  <si>
    <t>дети-инвалиды от 3 лет до 8 лет, чел.</t>
  </si>
  <si>
    <t>Итого дошкольные образовательные организации</t>
  </si>
  <si>
    <t>отраслевой корректирующий  коэффициент затрат, непосредственно связанных с оказанием муниципальной услуги, учитывающий режим работы учреждения (12 часов; 9-10 часов)</t>
  </si>
  <si>
    <t>физические лица от 3 лет  до 8 лет за исключением льготных категорий, чел.</t>
  </si>
  <si>
    <t>финансовое обеспечение за счет затрат на общехозяйственные нужды физических лиц от 3 лет до 8 лет за исключением льготных категорий-бюджет, тыс. руб.</t>
  </si>
  <si>
    <t>финансовое обеспечение за счет затрат на общехозяйственные нужды от 3 лет до 8 лет-бюдждет, тыс. руб.</t>
  </si>
  <si>
    <t>финансовое обеспечение за счет затрат на общехозяйственные нуждлы детей -инвалидов от 3 лет до 8 лет-бюджет, тыс. руб.</t>
  </si>
  <si>
    <t>базовый норматив затрат на общехозяйственные нужды на одного ребенка , руб./год</t>
  </si>
  <si>
    <t xml:space="preserve"> расходы на общехозяйственные нужды на одного ребенка , руб./год</t>
  </si>
  <si>
    <t>полное финансовое обеспечение за счет затрат на общехозяйственные нужды-бюджет, тыс. руб.</t>
  </si>
  <si>
    <t>отраслевой корректирующий  коэффициент затрат на общехозяйственные нужды, учитывающий режим работы учреждения (12 часов; 9-10 часов) и виды благоустройства</t>
  </si>
  <si>
    <t>финансовое обеспечение, тыс. руб.</t>
  </si>
  <si>
    <t>средняя выхождаемость за 2014-2016 годы, %</t>
  </si>
  <si>
    <t>к приказу Отдела образования от 28.12.2017 №917</t>
  </si>
  <si>
    <t>Наименование и объём  муниципальной услуги</t>
  </si>
  <si>
    <t>затраты по питанию на одного ребёнка в  год, руб.</t>
  </si>
  <si>
    <t>Наименование и объём муниципальной  услуги</t>
  </si>
  <si>
    <t>Наименование и объём  муниципальнойуслуги</t>
  </si>
  <si>
    <t>Приложение №2</t>
  </si>
  <si>
    <t>Приложение №3</t>
  </si>
  <si>
    <t>Приложение №4</t>
  </si>
  <si>
    <t>отраслевой корректирующий  коэффициент затрат, непосредственно связанных с оказанием муниципальной услуги, учитывающий фактическую выхождаемость детей</t>
  </si>
  <si>
    <t>налоги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</si>
</sst>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6" fillId="33" borderId="0" xfId="54" applyFont="1" applyFill="1">
      <alignment/>
      <protection/>
    </xf>
    <xf numFmtId="177" fontId="5" fillId="33" borderId="0" xfId="54" applyNumberFormat="1" applyFont="1" applyFill="1" applyAlignment="1">
      <alignment horizontal="center"/>
      <protection/>
    </xf>
    <xf numFmtId="0" fontId="4" fillId="33" borderId="0" xfId="54" applyFont="1" applyFill="1" applyBorder="1" applyAlignment="1">
      <alignment horizontal="center" vertical="top" wrapText="1"/>
      <protection/>
    </xf>
    <xf numFmtId="0" fontId="4" fillId="33" borderId="0" xfId="54" applyFont="1" applyFill="1" applyBorder="1" applyAlignment="1">
      <alignment vertical="top" wrapText="1"/>
      <protection/>
    </xf>
    <xf numFmtId="177" fontId="4" fillId="33" borderId="0" xfId="54" applyNumberFormat="1" applyFont="1" applyFill="1" applyBorder="1">
      <alignment/>
      <protection/>
    </xf>
    <xf numFmtId="0" fontId="4" fillId="33" borderId="0" xfId="54" applyFont="1" applyFill="1" applyBorder="1" applyAlignment="1">
      <alignment horizontal="left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10" fillId="33" borderId="0" xfId="0" applyFont="1" applyFill="1" applyAlignment="1">
      <alignment/>
    </xf>
    <xf numFmtId="0" fontId="4" fillId="33" borderId="0" xfId="54" applyFont="1" applyFill="1" applyBorder="1">
      <alignment/>
      <protection/>
    </xf>
    <xf numFmtId="0" fontId="5" fillId="33" borderId="0" xfId="54" applyFont="1" applyFill="1" applyBorder="1">
      <alignment/>
      <protection/>
    </xf>
    <xf numFmtId="177" fontId="5" fillId="33" borderId="0" xfId="54" applyNumberFormat="1" applyFont="1" applyFill="1" applyBorder="1" applyAlignment="1">
      <alignment horizontal="center"/>
      <protection/>
    </xf>
    <xf numFmtId="0" fontId="4" fillId="33" borderId="0" xfId="54" applyFont="1" applyFill="1">
      <alignment/>
      <protection/>
    </xf>
    <xf numFmtId="177" fontId="4" fillId="33" borderId="0" xfId="54" applyNumberFormat="1" applyFont="1" applyFill="1">
      <alignment/>
      <protection/>
    </xf>
    <xf numFmtId="1" fontId="6" fillId="33" borderId="0" xfId="54" applyNumberFormat="1" applyFont="1" applyFill="1">
      <alignment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180" fontId="4" fillId="33" borderId="0" xfId="54" applyNumberFormat="1" applyFont="1" applyFill="1" applyBorder="1" applyAlignment="1">
      <alignment horizontal="center" vertical="top" wrapText="1"/>
      <protection/>
    </xf>
    <xf numFmtId="2" fontId="5" fillId="33" borderId="10" xfId="54" applyNumberFormat="1" applyFont="1" applyFill="1" applyBorder="1" applyAlignment="1">
      <alignment vertical="top" wrapText="1"/>
      <protection/>
    </xf>
    <xf numFmtId="2" fontId="4" fillId="33" borderId="0" xfId="54" applyNumberFormat="1" applyFont="1" applyFill="1" applyBorder="1" applyAlignment="1">
      <alignment vertical="top" wrapText="1"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4" fontId="9" fillId="33" borderId="11" xfId="54" applyNumberFormat="1" applyFont="1" applyFill="1" applyBorder="1" applyAlignment="1">
      <alignment horizontal="center" wrapText="1"/>
      <protection/>
    </xf>
    <xf numFmtId="2" fontId="9" fillId="33" borderId="12" xfId="0" applyNumberFormat="1" applyFont="1" applyFill="1" applyBorder="1" applyAlignment="1">
      <alignment/>
    </xf>
    <xf numFmtId="2" fontId="9" fillId="33" borderId="11" xfId="0" applyNumberFormat="1" applyFont="1" applyFill="1" applyBorder="1" applyAlignment="1">
      <alignment horizontal="center"/>
    </xf>
    <xf numFmtId="2" fontId="6" fillId="33" borderId="0" xfId="54" applyNumberFormat="1" applyFont="1" applyFill="1" applyAlignment="1">
      <alignment/>
      <protection/>
    </xf>
    <xf numFmtId="2" fontId="9" fillId="33" borderId="12" xfId="0" applyNumberFormat="1" applyFont="1" applyFill="1" applyBorder="1" applyAlignment="1">
      <alignment wrapText="1"/>
    </xf>
    <xf numFmtId="2" fontId="6" fillId="33" borderId="0" xfId="54" applyNumberFormat="1" applyFont="1" applyFill="1" applyAlignment="1">
      <alignment wrapText="1"/>
      <protection/>
    </xf>
    <xf numFmtId="2" fontId="9" fillId="33" borderId="11" xfId="0" applyNumberFormat="1" applyFont="1" applyFill="1" applyBorder="1" applyAlignment="1">
      <alignment horizontal="center" wrapText="1"/>
    </xf>
    <xf numFmtId="2" fontId="8" fillId="33" borderId="13" xfId="54" applyNumberFormat="1" applyFont="1" applyFill="1" applyBorder="1" applyAlignment="1">
      <alignment horizontal="center" wrapText="1"/>
      <protection/>
    </xf>
    <xf numFmtId="177" fontId="9" fillId="33" borderId="11" xfId="0" applyNumberFormat="1" applyFont="1" applyFill="1" applyBorder="1" applyAlignment="1">
      <alignment horizontal="center"/>
    </xf>
    <xf numFmtId="1" fontId="4" fillId="33" borderId="11" xfId="54" applyNumberFormat="1" applyFont="1" applyFill="1" applyBorder="1" applyAlignment="1">
      <alignment horizontal="center"/>
      <protection/>
    </xf>
    <xf numFmtId="1" fontId="4" fillId="33" borderId="12" xfId="54" applyNumberFormat="1" applyFont="1" applyFill="1" applyBorder="1" applyAlignment="1">
      <alignment horizontal="center"/>
      <protection/>
    </xf>
    <xf numFmtId="1" fontId="4" fillId="33" borderId="11" xfId="54" applyNumberFormat="1" applyFont="1" applyFill="1" applyBorder="1" applyAlignment="1">
      <alignment horizontal="center" wrapText="1"/>
      <protection/>
    </xf>
    <xf numFmtId="1" fontId="4" fillId="33" borderId="12" xfId="54" applyNumberFormat="1" applyFont="1" applyFill="1" applyBorder="1" applyAlignment="1">
      <alignment horizontal="center" wrapText="1"/>
      <protection/>
    </xf>
    <xf numFmtId="1" fontId="4" fillId="33" borderId="11" xfId="54" applyNumberFormat="1" applyFont="1" applyFill="1" applyBorder="1" applyAlignment="1">
      <alignment horizontal="center" vertical="center"/>
      <protection/>
    </xf>
    <xf numFmtId="182" fontId="9" fillId="33" borderId="11" xfId="54" applyNumberFormat="1" applyFont="1" applyFill="1" applyBorder="1" applyAlignment="1">
      <alignment horizontal="center" wrapText="1"/>
      <protection/>
    </xf>
    <xf numFmtId="4" fontId="9" fillId="33" borderId="12" xfId="54" applyNumberFormat="1" applyFont="1" applyFill="1" applyBorder="1" applyAlignment="1">
      <alignment horizontal="center" wrapText="1"/>
      <protection/>
    </xf>
    <xf numFmtId="3" fontId="9" fillId="33" borderId="12" xfId="54" applyNumberFormat="1" applyFont="1" applyFill="1" applyBorder="1" applyAlignment="1">
      <alignment horizontal="center"/>
      <protection/>
    </xf>
    <xf numFmtId="3" fontId="9" fillId="33" borderId="11" xfId="54" applyNumberFormat="1" applyFont="1" applyFill="1" applyBorder="1" applyAlignment="1">
      <alignment horizontal="center" wrapText="1"/>
      <protection/>
    </xf>
    <xf numFmtId="2" fontId="5" fillId="33" borderId="13" xfId="54" applyNumberFormat="1" applyFont="1" applyFill="1" applyBorder="1" applyAlignment="1">
      <alignment wrapText="1"/>
      <protection/>
    </xf>
    <xf numFmtId="2" fontId="9" fillId="33" borderId="12" xfId="0" applyNumberFormat="1" applyFont="1" applyFill="1" applyBorder="1" applyAlignment="1">
      <alignment horizontal="center"/>
    </xf>
    <xf numFmtId="1" fontId="5" fillId="33" borderId="14" xfId="54" applyNumberFormat="1" applyFont="1" applyFill="1" applyBorder="1" applyAlignment="1">
      <alignment horizontal="center" wrapText="1"/>
      <protection/>
    </xf>
    <xf numFmtId="2" fontId="11" fillId="33" borderId="0" xfId="54" applyNumberFormat="1" applyFont="1" applyFill="1" applyAlignment="1">
      <alignment/>
      <protection/>
    </xf>
    <xf numFmtId="180" fontId="9" fillId="33" borderId="12" xfId="54" applyNumberFormat="1" applyFont="1" applyFill="1" applyBorder="1" applyAlignment="1">
      <alignment horizontal="center"/>
      <protection/>
    </xf>
    <xf numFmtId="180" fontId="9" fillId="33" borderId="11" xfId="0" applyNumberFormat="1" applyFont="1" applyFill="1" applyBorder="1" applyAlignment="1">
      <alignment horizontal="center"/>
    </xf>
    <xf numFmtId="0" fontId="5" fillId="33" borderId="0" xfId="54" applyFont="1" applyFill="1" applyAlignment="1">
      <alignment/>
      <protection/>
    </xf>
    <xf numFmtId="0" fontId="48" fillId="33" borderId="15" xfId="54" applyFont="1" applyFill="1" applyBorder="1" applyAlignment="1">
      <alignment/>
      <protection/>
    </xf>
    <xf numFmtId="177" fontId="4" fillId="33" borderId="12" xfId="54" applyNumberFormat="1" applyFont="1" applyFill="1" applyBorder="1" applyAlignment="1">
      <alignment horizontal="center" vertical="center" wrapText="1"/>
      <protection/>
    </xf>
    <xf numFmtId="0" fontId="6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vertical="center" wrapText="1"/>
      <protection/>
    </xf>
    <xf numFmtId="3" fontId="9" fillId="33" borderId="12" xfId="54" applyNumberFormat="1" applyFont="1" applyFill="1" applyBorder="1" applyAlignment="1">
      <alignment horizontal="center" wrapText="1"/>
      <protection/>
    </xf>
    <xf numFmtId="3" fontId="8" fillId="33" borderId="13" xfId="54" applyNumberFormat="1" applyFont="1" applyFill="1" applyBorder="1" applyAlignment="1">
      <alignment horizontal="center" wrapText="1"/>
      <protection/>
    </xf>
    <xf numFmtId="2" fontId="11" fillId="33" borderId="0" xfId="54" applyNumberFormat="1" applyFont="1" applyFill="1" applyAlignment="1">
      <alignment wrapText="1"/>
      <protection/>
    </xf>
    <xf numFmtId="0" fontId="4" fillId="33" borderId="0" xfId="54" applyFont="1" applyFill="1" applyBorder="1" applyAlignment="1">
      <alignment/>
      <protection/>
    </xf>
    <xf numFmtId="0" fontId="12" fillId="33" borderId="15" xfId="54" applyFont="1" applyFill="1" applyBorder="1" applyAlignment="1">
      <alignment/>
      <protection/>
    </xf>
    <xf numFmtId="9" fontId="4" fillId="33" borderId="0" xfId="54" applyNumberFormat="1" applyFont="1" applyFill="1" applyBorder="1" applyAlignment="1">
      <alignment vertical="top" wrapText="1"/>
      <protection/>
    </xf>
    <xf numFmtId="0" fontId="5" fillId="33" borderId="0" xfId="54" applyFont="1" applyFill="1" applyAlignment="1">
      <alignment horizontal="center"/>
      <protection/>
    </xf>
    <xf numFmtId="177" fontId="4" fillId="33" borderId="12" xfId="54" applyNumberFormat="1" applyFont="1" applyFill="1" applyBorder="1" applyAlignment="1">
      <alignment horizontal="center" vertical="center" wrapText="1"/>
      <protection/>
    </xf>
    <xf numFmtId="177" fontId="4" fillId="33" borderId="16" xfId="54" applyNumberFormat="1" applyFont="1" applyFill="1" applyBorder="1" applyAlignment="1">
      <alignment horizontal="center" vertical="center" wrapText="1"/>
      <protection/>
    </xf>
    <xf numFmtId="177" fontId="4" fillId="33" borderId="17" xfId="54" applyNumberFormat="1" applyFont="1" applyFill="1" applyBorder="1" applyAlignment="1">
      <alignment horizontal="center" vertical="center" wrapText="1"/>
      <protection/>
    </xf>
    <xf numFmtId="0" fontId="48" fillId="33" borderId="15" xfId="54" applyFont="1" applyFill="1" applyBorder="1" applyAlignment="1">
      <alignment horizontal="left"/>
      <protection/>
    </xf>
    <xf numFmtId="0" fontId="48" fillId="33" borderId="0" xfId="54" applyFont="1" applyFill="1" applyBorder="1" applyAlignment="1">
      <alignment horizontal="left"/>
      <protection/>
    </xf>
    <xf numFmtId="0" fontId="9" fillId="33" borderId="11" xfId="0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9" fillId="33" borderId="11" xfId="54" applyNumberFormat="1" applyFont="1" applyFill="1" applyBorder="1" applyAlignment="1">
      <alignment horizontal="center" vertical="center" wrapText="1"/>
      <protection/>
    </xf>
    <xf numFmtId="0" fontId="9" fillId="33" borderId="12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2" xfId="54" applyNumberFormat="1" applyFont="1" applyFill="1" applyBorder="1" applyAlignment="1">
      <alignment horizontal="center" vertical="center" wrapText="1"/>
      <protection/>
    </xf>
    <xf numFmtId="177" fontId="9" fillId="33" borderId="12" xfId="0" applyNumberFormat="1" applyFont="1" applyFill="1" applyBorder="1" applyAlignment="1">
      <alignment horizontal="center" vertical="center"/>
    </xf>
    <xf numFmtId="0" fontId="9" fillId="33" borderId="12" xfId="53" applyFont="1" applyFill="1" applyBorder="1" applyAlignment="1">
      <alignment horizontal="center" vertical="center"/>
      <protection/>
    </xf>
    <xf numFmtId="1" fontId="9" fillId="33" borderId="12" xfId="53" applyNumberFormat="1" applyFont="1" applyFill="1" applyBorder="1" applyAlignment="1">
      <alignment horizontal="center" vertical="center"/>
      <protection/>
    </xf>
    <xf numFmtId="0" fontId="9" fillId="34" borderId="18" xfId="53" applyFont="1" applyFill="1" applyBorder="1" applyAlignment="1">
      <alignment horizontal="center"/>
      <protection/>
    </xf>
    <xf numFmtId="1" fontId="9" fillId="34" borderId="18" xfId="53" applyNumberFormat="1" applyFont="1" applyFill="1" applyBorder="1" applyAlignment="1">
      <alignment horizontal="center"/>
      <protection/>
    </xf>
    <xf numFmtId="1" fontId="9" fillId="34" borderId="18" xfId="55" applyNumberFormat="1" applyFont="1" applyFill="1" applyBorder="1" applyAlignment="1">
      <alignment horizontal="center" vertical="top" wrapText="1"/>
      <protection/>
    </xf>
    <xf numFmtId="0" fontId="9" fillId="33" borderId="12" xfId="53" applyFont="1" applyFill="1" applyBorder="1" applyAlignment="1">
      <alignment horizontal="center" vertical="center" wrapText="1"/>
      <protection/>
    </xf>
    <xf numFmtId="1" fontId="9" fillId="33" borderId="12" xfId="53" applyNumberFormat="1" applyFont="1" applyFill="1" applyBorder="1" applyAlignment="1">
      <alignment horizontal="center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1" fontId="9" fillId="33" borderId="12" xfId="54" applyNumberFormat="1" applyFont="1" applyFill="1" applyBorder="1" applyAlignment="1">
      <alignment horizontal="center" vertical="top" wrapText="1"/>
      <protection/>
    </xf>
    <xf numFmtId="3" fontId="9" fillId="33" borderId="12" xfId="54" applyNumberFormat="1" applyFont="1" applyFill="1" applyBorder="1" applyAlignment="1">
      <alignment horizontal="center" vertical="center" wrapText="1"/>
      <protection/>
    </xf>
    <xf numFmtId="3" fontId="9" fillId="33" borderId="19" xfId="54" applyNumberFormat="1" applyFont="1" applyFill="1" applyBorder="1" applyAlignment="1">
      <alignment horizontal="center" vertical="center" wrapText="1"/>
      <protection/>
    </xf>
    <xf numFmtId="4" fontId="9" fillId="33" borderId="19" xfId="54" applyNumberFormat="1" applyFont="1" applyFill="1" applyBorder="1" applyAlignment="1">
      <alignment horizontal="center" wrapText="1"/>
      <protection/>
    </xf>
    <xf numFmtId="176" fontId="9" fillId="33" borderId="11" xfId="54" applyNumberFormat="1" applyFont="1" applyFill="1" applyBorder="1" applyAlignment="1">
      <alignment horizontal="center" wrapText="1"/>
      <protection/>
    </xf>
    <xf numFmtId="4" fontId="9" fillId="33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 wrapText="1"/>
    </xf>
    <xf numFmtId="3" fontId="9" fillId="33" borderId="11" xfId="0" applyNumberFormat="1" applyFont="1" applyFill="1" applyBorder="1" applyAlignment="1">
      <alignment horizontal="center" vertical="center"/>
    </xf>
    <xf numFmtId="3" fontId="9" fillId="33" borderId="12" xfId="0" applyNumberFormat="1" applyFont="1" applyFill="1" applyBorder="1" applyAlignment="1">
      <alignment horizontal="center" vertical="center"/>
    </xf>
    <xf numFmtId="3" fontId="9" fillId="33" borderId="12" xfId="53" applyNumberFormat="1" applyFont="1" applyFill="1" applyBorder="1" applyAlignment="1">
      <alignment horizontal="center" vertical="center"/>
      <protection/>
    </xf>
    <xf numFmtId="3" fontId="9" fillId="34" borderId="18" xfId="53" applyNumberFormat="1" applyFont="1" applyFill="1" applyBorder="1" applyAlignment="1">
      <alignment horizontal="center"/>
      <protection/>
    </xf>
    <xf numFmtId="3" fontId="9" fillId="33" borderId="12" xfId="53" applyNumberFormat="1" applyFont="1" applyFill="1" applyBorder="1" applyAlignment="1">
      <alignment horizontal="center" vertical="center" wrapText="1"/>
      <protection/>
    </xf>
    <xf numFmtId="3" fontId="9" fillId="33" borderId="12" xfId="0" applyNumberFormat="1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/>
    </xf>
    <xf numFmtId="180" fontId="6" fillId="33" borderId="0" xfId="54" applyNumberFormat="1" applyFont="1" applyFill="1" applyAlignment="1">
      <alignment/>
      <protection/>
    </xf>
    <xf numFmtId="180" fontId="6" fillId="33" borderId="0" xfId="54" applyNumberFormat="1" applyFont="1" applyFill="1" applyAlignment="1">
      <alignment wrapText="1"/>
      <protection/>
    </xf>
    <xf numFmtId="0" fontId="7" fillId="33" borderId="0" xfId="0" applyFont="1" applyFill="1" applyBorder="1" applyAlignment="1">
      <alignment horizontal="center"/>
    </xf>
    <xf numFmtId="0" fontId="4" fillId="33" borderId="19" xfId="54" applyFont="1" applyFill="1" applyBorder="1" applyAlignment="1">
      <alignment horizontal="center" vertical="center" wrapText="1"/>
      <protection/>
    </xf>
    <xf numFmtId="0" fontId="4" fillId="33" borderId="13" xfId="54" applyFont="1" applyFill="1" applyBorder="1" applyAlignment="1">
      <alignment horizontal="center" vertical="center" wrapText="1"/>
      <protection/>
    </xf>
    <xf numFmtId="0" fontId="4" fillId="33" borderId="11" xfId="54" applyFont="1" applyFill="1" applyBorder="1" applyAlignment="1">
      <alignment horizontal="center" vertical="center" wrapText="1"/>
      <protection/>
    </xf>
    <xf numFmtId="0" fontId="4" fillId="33" borderId="19" xfId="54" applyFont="1" applyFill="1" applyBorder="1" applyAlignment="1">
      <alignment horizontal="center" vertical="center"/>
      <protection/>
    </xf>
    <xf numFmtId="0" fontId="4" fillId="33" borderId="13" xfId="54" applyFont="1" applyFill="1" applyBorder="1" applyAlignment="1">
      <alignment horizontal="center" vertical="center"/>
      <protection/>
    </xf>
    <xf numFmtId="0" fontId="4" fillId="33" borderId="11" xfId="54" applyFont="1" applyFill="1" applyBorder="1" applyAlignment="1">
      <alignment horizontal="center" vertical="center"/>
      <protection/>
    </xf>
    <xf numFmtId="177" fontId="4" fillId="33" borderId="20" xfId="54" applyNumberFormat="1" applyFont="1" applyFill="1" applyBorder="1" applyAlignment="1">
      <alignment horizontal="center" vertical="center" wrapText="1"/>
      <protection/>
    </xf>
    <xf numFmtId="177" fontId="4" fillId="33" borderId="21" xfId="54" applyNumberFormat="1" applyFont="1" applyFill="1" applyBorder="1" applyAlignment="1">
      <alignment horizontal="center" vertical="center" wrapText="1"/>
      <protection/>
    </xf>
    <xf numFmtId="177" fontId="4" fillId="33" borderId="16" xfId="54" applyNumberFormat="1" applyFont="1" applyFill="1" applyBorder="1" applyAlignment="1">
      <alignment horizontal="center" vertical="center" wrapText="1"/>
      <protection/>
    </xf>
    <xf numFmtId="177" fontId="4" fillId="33" borderId="12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right"/>
      <protection/>
    </xf>
    <xf numFmtId="0" fontId="12" fillId="33" borderId="15" xfId="54" applyFont="1" applyFill="1" applyBorder="1" applyAlignment="1">
      <alignment horizontal="right"/>
      <protection/>
    </xf>
    <xf numFmtId="177" fontId="4" fillId="33" borderId="11" xfId="54" applyNumberFormat="1" applyFont="1" applyFill="1" applyBorder="1" applyAlignment="1">
      <alignment horizontal="center" vertical="center" wrapText="1"/>
      <protection/>
    </xf>
    <xf numFmtId="177" fontId="4" fillId="33" borderId="0" xfId="54" applyNumberFormat="1" applyFont="1" applyFill="1" applyBorder="1" applyAlignment="1">
      <alignment horizontal="center" vertical="center" wrapText="1"/>
      <protection/>
    </xf>
    <xf numFmtId="177" fontId="4" fillId="33" borderId="15" xfId="54" applyNumberFormat="1" applyFont="1" applyFill="1" applyBorder="1" applyAlignment="1">
      <alignment horizontal="center" vertical="center" wrapText="1"/>
      <protection/>
    </xf>
    <xf numFmtId="0" fontId="9" fillId="33" borderId="12" xfId="54" applyFont="1" applyFill="1" applyBorder="1" applyAlignment="1">
      <alignment horizontal="center" vertical="center" wrapText="1"/>
      <protection/>
    </xf>
    <xf numFmtId="177" fontId="4" fillId="33" borderId="22" xfId="54" applyNumberFormat="1" applyFont="1" applyFill="1" applyBorder="1" applyAlignment="1">
      <alignment horizontal="center" vertical="center" wrapText="1"/>
      <protection/>
    </xf>
    <xf numFmtId="177" fontId="4" fillId="33" borderId="23" xfId="54" applyNumberFormat="1" applyFont="1" applyFill="1" applyBorder="1" applyAlignment="1">
      <alignment horizontal="center" vertical="center" wrapText="1"/>
      <protection/>
    </xf>
    <xf numFmtId="177" fontId="4" fillId="33" borderId="24" xfId="54" applyNumberFormat="1" applyFont="1" applyFill="1" applyBorder="1" applyAlignment="1">
      <alignment horizontal="center" vertical="center" wrapText="1"/>
      <protection/>
    </xf>
    <xf numFmtId="177" fontId="4" fillId="33" borderId="17" xfId="54" applyNumberFormat="1" applyFont="1" applyFill="1" applyBorder="1" applyAlignment="1">
      <alignment horizontal="center" vertical="center" wrapText="1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177" fontId="4" fillId="33" borderId="25" xfId="54" applyNumberFormat="1" applyFont="1" applyFill="1" applyBorder="1" applyAlignment="1">
      <alignment horizontal="center" vertical="center" wrapText="1"/>
      <protection/>
    </xf>
    <xf numFmtId="177" fontId="4" fillId="33" borderId="19" xfId="54" applyNumberFormat="1" applyFont="1" applyFill="1" applyBorder="1" applyAlignment="1">
      <alignment horizontal="center" vertical="center" wrapText="1"/>
      <protection/>
    </xf>
    <xf numFmtId="177" fontId="4" fillId="33" borderId="13" xfId="54" applyNumberFormat="1" applyFont="1" applyFill="1" applyBorder="1" applyAlignment="1">
      <alignment horizontal="center" vertical="center" wrapText="1"/>
      <protection/>
    </xf>
    <xf numFmtId="177" fontId="8" fillId="33" borderId="19" xfId="54" applyNumberFormat="1" applyFont="1" applyFill="1" applyBorder="1" applyAlignment="1">
      <alignment horizontal="center" wrapText="1"/>
      <protection/>
    </xf>
    <xf numFmtId="4" fontId="8" fillId="33" borderId="19" xfId="54" applyNumberFormat="1" applyFont="1" applyFill="1" applyBorder="1" applyAlignment="1">
      <alignment horizontal="center" wrapText="1"/>
      <protection/>
    </xf>
    <xf numFmtId="3" fontId="9" fillId="33" borderId="13" xfId="54" applyNumberFormat="1" applyFont="1" applyFill="1" applyBorder="1" applyAlignment="1">
      <alignment horizontal="center" wrapText="1"/>
      <protection/>
    </xf>
    <xf numFmtId="1" fontId="8" fillId="33" borderId="19" xfId="54" applyNumberFormat="1" applyFont="1" applyFill="1" applyBorder="1" applyAlignment="1">
      <alignment horizontal="center" wrapText="1"/>
      <protection/>
    </xf>
    <xf numFmtId="3" fontId="8" fillId="33" borderId="19" xfId="54" applyNumberFormat="1" applyFont="1" applyFill="1" applyBorder="1" applyAlignment="1">
      <alignment horizontal="center" wrapText="1"/>
      <protection/>
    </xf>
    <xf numFmtId="177" fontId="8" fillId="33" borderId="13" xfId="0" applyNumberFormat="1" applyFont="1" applyFill="1" applyBorder="1" applyAlignment="1">
      <alignment horizontal="center"/>
    </xf>
    <xf numFmtId="4" fontId="8" fillId="33" borderId="19" xfId="54" applyNumberFormat="1" applyFont="1" applyFill="1" applyBorder="1" applyAlignment="1">
      <alignment/>
      <protection/>
    </xf>
    <xf numFmtId="3" fontId="9" fillId="33" borderId="19" xfId="54" applyNumberFormat="1" applyFont="1" applyFill="1" applyBorder="1" applyAlignment="1">
      <alignment horizontal="center"/>
      <protection/>
    </xf>
    <xf numFmtId="4" fontId="8" fillId="33" borderId="13" xfId="54" applyNumberFormat="1" applyFont="1" applyFill="1" applyBorder="1" applyAlignment="1">
      <alignment horizontal="center" wrapText="1"/>
      <protection/>
    </xf>
    <xf numFmtId="3" fontId="8" fillId="33" borderId="19" xfId="54" applyNumberFormat="1" applyFont="1" applyFill="1" applyBorder="1" applyAlignment="1">
      <alignment horizontal="center"/>
      <protection/>
    </xf>
    <xf numFmtId="1" fontId="4" fillId="33" borderId="0" xfId="54" applyNumberFormat="1" applyFont="1" applyFill="1" applyBorder="1" applyAlignment="1">
      <alignment horizontal="center" wrapText="1"/>
      <protection/>
    </xf>
    <xf numFmtId="2" fontId="4" fillId="33" borderId="0" xfId="54" applyNumberFormat="1" applyFont="1" applyFill="1" applyBorder="1" applyAlignment="1">
      <alignment wrapText="1"/>
      <protection/>
    </xf>
    <xf numFmtId="3" fontId="9" fillId="33" borderId="0" xfId="54" applyNumberFormat="1" applyFont="1" applyFill="1" applyBorder="1" applyAlignment="1">
      <alignment horizontal="center" wrapText="1"/>
      <protection/>
    </xf>
    <xf numFmtId="2" fontId="9" fillId="33" borderId="0" xfId="54" applyNumberFormat="1" applyFont="1" applyFill="1" applyBorder="1" applyAlignment="1">
      <alignment horizontal="center" wrapText="1"/>
      <protection/>
    </xf>
    <xf numFmtId="177" fontId="9" fillId="33" borderId="0" xfId="0" applyNumberFormat="1" applyFont="1" applyFill="1" applyBorder="1" applyAlignment="1">
      <alignment horizontal="center"/>
    </xf>
    <xf numFmtId="1" fontId="9" fillId="33" borderId="0" xfId="54" applyNumberFormat="1" applyFont="1" applyFill="1" applyBorder="1" applyAlignment="1">
      <alignment horizontal="center" wrapText="1"/>
      <protection/>
    </xf>
    <xf numFmtId="0" fontId="6" fillId="33" borderId="0" xfId="54" applyFont="1" applyFill="1" applyBorder="1" applyAlignment="1">
      <alignment horizontal="center"/>
      <protection/>
    </xf>
    <xf numFmtId="4" fontId="9" fillId="33" borderId="0" xfId="54" applyNumberFormat="1" applyFont="1" applyFill="1" applyBorder="1" applyAlignment="1">
      <alignment horizontal="center" wrapText="1"/>
      <protection/>
    </xf>
    <xf numFmtId="3" fontId="9" fillId="33" borderId="0" xfId="54" applyNumberFormat="1" applyFont="1" applyFill="1" applyBorder="1" applyAlignment="1">
      <alignment horizontal="center"/>
      <protection/>
    </xf>
    <xf numFmtId="2" fontId="6" fillId="33" borderId="0" xfId="54" applyNumberFormat="1" applyFont="1" applyFill="1" applyBorder="1" applyAlignment="1">
      <alignment/>
      <protection/>
    </xf>
    <xf numFmtId="0" fontId="6" fillId="33" borderId="0" xfId="54" applyFont="1" applyFill="1" applyBorder="1" applyAlignment="1">
      <alignment/>
      <protection/>
    </xf>
    <xf numFmtId="2" fontId="5" fillId="33" borderId="0" xfId="54" applyNumberFormat="1" applyFont="1" applyFill="1" applyBorder="1" applyAlignment="1">
      <alignment horizontal="center" wrapText="1"/>
      <protection/>
    </xf>
    <xf numFmtId="2" fontId="5" fillId="33" borderId="0" xfId="54" applyNumberFormat="1" applyFont="1" applyFill="1" applyBorder="1" applyAlignment="1">
      <alignment wrapText="1"/>
      <protection/>
    </xf>
    <xf numFmtId="3" fontId="8" fillId="33" borderId="0" xfId="54" applyNumberFormat="1" applyFont="1" applyFill="1" applyBorder="1" applyAlignment="1">
      <alignment horizontal="center" wrapText="1"/>
      <protection/>
    </xf>
    <xf numFmtId="2" fontId="8" fillId="33" borderId="0" xfId="54" applyNumberFormat="1" applyFont="1" applyFill="1" applyBorder="1" applyAlignment="1">
      <alignment horizontal="center" wrapText="1"/>
      <protection/>
    </xf>
    <xf numFmtId="4" fontId="8" fillId="33" borderId="0" xfId="54" applyNumberFormat="1" applyFont="1" applyFill="1" applyBorder="1" applyAlignment="1">
      <alignment horizontal="center" wrapText="1"/>
      <protection/>
    </xf>
    <xf numFmtId="1" fontId="8" fillId="33" borderId="0" xfId="54" applyNumberFormat="1" applyFont="1" applyFill="1" applyBorder="1" applyAlignment="1">
      <alignment horizontal="center" wrapText="1"/>
      <protection/>
    </xf>
    <xf numFmtId="2" fontId="11" fillId="33" borderId="0" xfId="54" applyNumberFormat="1" applyFont="1" applyFill="1" applyBorder="1" applyAlignment="1">
      <alignment/>
      <protection/>
    </xf>
    <xf numFmtId="2" fontId="8" fillId="33" borderId="0" xfId="54" applyNumberFormat="1" applyFont="1" applyFill="1" applyBorder="1" applyAlignment="1">
      <alignment/>
      <protection/>
    </xf>
    <xf numFmtId="2" fontId="5" fillId="33" borderId="0" xfId="54" applyNumberFormat="1" applyFont="1" applyFill="1" applyBorder="1" applyAlignment="1">
      <alignment vertical="top" wrapText="1"/>
      <protection/>
    </xf>
    <xf numFmtId="1" fontId="5" fillId="33" borderId="19" xfId="54" applyNumberFormat="1" applyFont="1" applyFill="1" applyBorder="1" applyAlignment="1">
      <alignment horizontal="center" wrapText="1"/>
      <protection/>
    </xf>
    <xf numFmtId="2" fontId="5" fillId="33" borderId="19" xfId="54" applyNumberFormat="1" applyFont="1" applyFill="1" applyBorder="1" applyAlignment="1">
      <alignment wrapText="1"/>
      <protection/>
    </xf>
    <xf numFmtId="180" fontId="8" fillId="33" borderId="13" xfId="0" applyNumberFormat="1" applyFont="1" applyFill="1" applyBorder="1" applyAlignment="1">
      <alignment horizontal="center" wrapText="1"/>
    </xf>
    <xf numFmtId="177" fontId="9" fillId="33" borderId="13" xfId="0" applyNumberFormat="1" applyFont="1" applyFill="1" applyBorder="1" applyAlignment="1">
      <alignment horizontal="center"/>
    </xf>
    <xf numFmtId="2" fontId="8" fillId="33" borderId="19" xfId="54" applyNumberFormat="1" applyFont="1" applyFill="1" applyBorder="1" applyAlignment="1">
      <alignment horizontal="center" wrapText="1"/>
      <protection/>
    </xf>
    <xf numFmtId="180" fontId="8" fillId="33" borderId="13" xfId="54" applyNumberFormat="1" applyFont="1" applyFill="1" applyBorder="1" applyAlignment="1">
      <alignment horizontal="center" wrapText="1"/>
      <protection/>
    </xf>
    <xf numFmtId="182" fontId="9" fillId="33" borderId="0" xfId="54" applyNumberFormat="1" applyFont="1" applyFill="1" applyBorder="1" applyAlignment="1">
      <alignment horizontal="center" wrapText="1"/>
      <protection/>
    </xf>
    <xf numFmtId="177" fontId="9" fillId="33" borderId="0" xfId="0" applyNumberFormat="1" applyFont="1" applyFill="1" applyBorder="1" applyAlignment="1">
      <alignment horizontal="center" wrapText="1"/>
    </xf>
    <xf numFmtId="0" fontId="6" fillId="33" borderId="0" xfId="54" applyFont="1" applyFill="1" applyBorder="1" applyAlignment="1">
      <alignment horizontal="center" wrapText="1"/>
      <protection/>
    </xf>
    <xf numFmtId="176" fontId="9" fillId="33" borderId="0" xfId="54" applyNumberFormat="1" applyFont="1" applyFill="1" applyBorder="1" applyAlignment="1">
      <alignment horizontal="center" wrapText="1"/>
      <protection/>
    </xf>
    <xf numFmtId="180" fontId="9" fillId="33" borderId="0" xfId="54" applyNumberFormat="1" applyFont="1" applyFill="1" applyBorder="1" applyAlignment="1">
      <alignment horizontal="center" wrapText="1"/>
      <protection/>
    </xf>
    <xf numFmtId="2" fontId="6" fillId="33" borderId="0" xfId="54" applyNumberFormat="1" applyFont="1" applyFill="1" applyBorder="1" applyAlignment="1">
      <alignment wrapText="1"/>
      <protection/>
    </xf>
    <xf numFmtId="0" fontId="6" fillId="33" borderId="0" xfId="54" applyFont="1" applyFill="1" applyBorder="1" applyAlignment="1">
      <alignment wrapText="1"/>
      <protection/>
    </xf>
    <xf numFmtId="180" fontId="8" fillId="33" borderId="0" xfId="54" applyNumberFormat="1" applyFont="1" applyFill="1" applyBorder="1" applyAlignment="1">
      <alignment horizontal="center" wrapText="1"/>
      <protection/>
    </xf>
    <xf numFmtId="2" fontId="11" fillId="33" borderId="0" xfId="54" applyNumberFormat="1" applyFont="1" applyFill="1" applyBorder="1" applyAlignment="1">
      <alignment wrapText="1"/>
      <protection/>
    </xf>
    <xf numFmtId="177" fontId="8" fillId="33" borderId="19" xfId="0" applyNumberFormat="1" applyFont="1" applyFill="1" applyBorder="1" applyAlignment="1">
      <alignment horizontal="center" wrapText="1"/>
    </xf>
    <xf numFmtId="180" fontId="8" fillId="33" borderId="19" xfId="54" applyNumberFormat="1" applyFont="1" applyFill="1" applyBorder="1" applyAlignment="1">
      <alignment horizontal="center" wrapText="1"/>
      <protection/>
    </xf>
    <xf numFmtId="3" fontId="9" fillId="33" borderId="0" xfId="54" applyNumberFormat="1" applyFont="1" applyFill="1" applyBorder="1" applyAlignment="1">
      <alignment horizontal="center" vertical="top" wrapText="1"/>
      <protection/>
    </xf>
    <xf numFmtId="3" fontId="8" fillId="33" borderId="0" xfId="54" applyNumberFormat="1" applyFont="1" applyFill="1" applyBorder="1" applyAlignment="1">
      <alignment horizontal="center" vertical="top" wrapText="1"/>
      <protection/>
    </xf>
    <xf numFmtId="180" fontId="9" fillId="33" borderId="0" xfId="54" applyNumberFormat="1" applyFont="1" applyFill="1" applyBorder="1" applyAlignment="1">
      <alignment horizontal="center"/>
      <protection/>
    </xf>
    <xf numFmtId="177" fontId="8" fillId="33" borderId="0" xfId="54" applyNumberFormat="1" applyFont="1" applyFill="1" applyBorder="1" applyAlignment="1">
      <alignment horizontal="center" wrapText="1"/>
      <protection/>
    </xf>
    <xf numFmtId="180" fontId="8" fillId="33" borderId="13" xfId="0" applyNumberFormat="1" applyFont="1" applyFill="1" applyBorder="1" applyAlignment="1">
      <alignment horizontal="center"/>
    </xf>
    <xf numFmtId="180" fontId="9" fillId="33" borderId="0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счет медикаментов для бюджета" xfId="54"/>
    <cellStyle name="Обычный_Расчет медикаментов для бюджета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%20&#1087;&#1086;%20&#1044;&#1044;&#1059;-611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"/>
      <sheetName val="2018-без налогов"/>
    </sheetNames>
    <sheetDataSet>
      <sheetData sheetId="1">
        <row r="4">
          <cell r="AQ4">
            <v>570.9</v>
          </cell>
          <cell r="AY4">
            <v>1126.9</v>
          </cell>
        </row>
        <row r="5">
          <cell r="AQ5">
            <v>824.5</v>
          </cell>
          <cell r="AY5">
            <v>1341.2</v>
          </cell>
        </row>
        <row r="6">
          <cell r="AQ6">
            <v>965.8</v>
          </cell>
          <cell r="AY6">
            <v>1521.2</v>
          </cell>
        </row>
        <row r="7">
          <cell r="AQ7">
            <v>1874.2</v>
          </cell>
          <cell r="AY7">
            <v>2316.7</v>
          </cell>
        </row>
        <row r="8">
          <cell r="AQ8">
            <v>1787.1</v>
          </cell>
          <cell r="AY8">
            <v>2282.9</v>
          </cell>
        </row>
        <row r="9">
          <cell r="AQ9">
            <v>763.5</v>
          </cell>
          <cell r="AY9">
            <v>1462.1</v>
          </cell>
        </row>
        <row r="10">
          <cell r="AQ10">
            <v>1459.9</v>
          </cell>
          <cell r="AY10">
            <v>2285.4</v>
          </cell>
        </row>
        <row r="11">
          <cell r="AQ11">
            <v>1669.3</v>
          </cell>
          <cell r="AY11">
            <v>2154.7</v>
          </cell>
        </row>
        <row r="12">
          <cell r="AQ12">
            <v>1514.3</v>
          </cell>
          <cell r="AY12">
            <v>2765.8</v>
          </cell>
        </row>
        <row r="13">
          <cell r="AQ13">
            <v>1370.3</v>
          </cell>
          <cell r="AY13">
            <v>2443.2</v>
          </cell>
        </row>
        <row r="14">
          <cell r="AQ14">
            <v>620.6</v>
          </cell>
          <cell r="AY14">
            <v>1910.7</v>
          </cell>
        </row>
        <row r="15">
          <cell r="AQ15">
            <v>159.3</v>
          </cell>
          <cell r="AY15">
            <v>735.4</v>
          </cell>
        </row>
        <row r="16">
          <cell r="AQ16">
            <v>159.3</v>
          </cell>
          <cell r="AY16">
            <v>475.8</v>
          </cell>
        </row>
        <row r="17">
          <cell r="AQ17">
            <v>339.35</v>
          </cell>
          <cell r="AY17">
            <v>1008.3</v>
          </cell>
        </row>
        <row r="18">
          <cell r="AQ18">
            <v>194.1</v>
          </cell>
          <cell r="AY18">
            <v>854.2</v>
          </cell>
        </row>
        <row r="19">
          <cell r="AQ19">
            <v>192.3</v>
          </cell>
          <cell r="AY19">
            <v>836</v>
          </cell>
        </row>
        <row r="20">
          <cell r="AQ20">
            <v>229.6</v>
          </cell>
          <cell r="AY20">
            <v>924.2</v>
          </cell>
        </row>
        <row r="21">
          <cell r="AQ21">
            <v>64.9</v>
          </cell>
          <cell r="AY21">
            <v>675.4</v>
          </cell>
        </row>
        <row r="22">
          <cell r="AQ22">
            <v>48</v>
          </cell>
          <cell r="AY22">
            <v>721.3</v>
          </cell>
        </row>
        <row r="23">
          <cell r="AQ23">
            <v>64.9</v>
          </cell>
          <cell r="AY23">
            <v>705.8</v>
          </cell>
        </row>
        <row r="24">
          <cell r="AQ24">
            <v>149.5</v>
          </cell>
          <cell r="AY24">
            <v>689.7</v>
          </cell>
        </row>
        <row r="25">
          <cell r="AQ25">
            <v>441.8</v>
          </cell>
          <cell r="AY25">
            <v>1149</v>
          </cell>
        </row>
        <row r="26">
          <cell r="AQ26">
            <v>358.7</v>
          </cell>
          <cell r="AY26">
            <v>1141.7</v>
          </cell>
        </row>
        <row r="27">
          <cell r="AQ27">
            <v>524.7</v>
          </cell>
          <cell r="AY27">
            <v>1229.3</v>
          </cell>
        </row>
        <row r="28">
          <cell r="AQ28">
            <v>428.8</v>
          </cell>
          <cell r="AY28">
            <v>1223.6</v>
          </cell>
        </row>
        <row r="29">
          <cell r="AQ29">
            <v>560.9</v>
          </cell>
          <cell r="AY29">
            <v>1495.6</v>
          </cell>
        </row>
        <row r="30">
          <cell r="AQ30">
            <v>79.1</v>
          </cell>
          <cell r="AY30">
            <v>698.7</v>
          </cell>
        </row>
        <row r="31">
          <cell r="AQ31">
            <v>104.5</v>
          </cell>
          <cell r="AY31">
            <v>523.6</v>
          </cell>
        </row>
        <row r="32">
          <cell r="AQ32">
            <v>198</v>
          </cell>
          <cell r="AY32">
            <v>613</v>
          </cell>
        </row>
        <row r="33">
          <cell r="AQ33">
            <v>73.5</v>
          </cell>
          <cell r="AY33">
            <v>750.9</v>
          </cell>
        </row>
        <row r="34">
          <cell r="AQ34">
            <v>200.9</v>
          </cell>
          <cell r="AY34">
            <v>754.3</v>
          </cell>
        </row>
        <row r="35">
          <cell r="AQ35">
            <v>169.4</v>
          </cell>
          <cell r="AY35">
            <v>151.4</v>
          </cell>
        </row>
        <row r="36">
          <cell r="AQ36">
            <v>189.4</v>
          </cell>
          <cell r="AY36">
            <v>1020.1</v>
          </cell>
        </row>
        <row r="37">
          <cell r="AQ37">
            <v>68.9</v>
          </cell>
          <cell r="AY37">
            <v>433.9</v>
          </cell>
        </row>
        <row r="38">
          <cell r="AQ38">
            <v>138.3</v>
          </cell>
          <cell r="AY38">
            <v>754</v>
          </cell>
        </row>
        <row r="39">
          <cell r="AQ39">
            <v>248.5</v>
          </cell>
          <cell r="AY39">
            <v>1102.6</v>
          </cell>
        </row>
        <row r="40">
          <cell r="AQ40">
            <v>53.6</v>
          </cell>
          <cell r="AY40">
            <v>685.4</v>
          </cell>
        </row>
        <row r="41">
          <cell r="AQ41">
            <v>211.8</v>
          </cell>
          <cell r="AY41">
            <v>741.5</v>
          </cell>
        </row>
        <row r="42">
          <cell r="AQ42">
            <v>107.3</v>
          </cell>
          <cell r="AY42">
            <v>762.1</v>
          </cell>
        </row>
        <row r="43">
          <cell r="AQ43">
            <v>48</v>
          </cell>
          <cell r="AY43">
            <v>648.7</v>
          </cell>
        </row>
        <row r="44">
          <cell r="AQ44">
            <v>76.2</v>
          </cell>
          <cell r="AY44">
            <v>620.3</v>
          </cell>
        </row>
        <row r="45">
          <cell r="AQ45">
            <v>90.3</v>
          </cell>
          <cell r="AY45">
            <v>498</v>
          </cell>
        </row>
        <row r="46">
          <cell r="AQ46">
            <v>61.8</v>
          </cell>
          <cell r="AY46">
            <v>308.3</v>
          </cell>
        </row>
        <row r="47">
          <cell r="AY47">
            <v>449.6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8"/>
  <sheetViews>
    <sheetView view="pageBreakPreview" zoomScale="81" zoomScaleNormal="71" zoomScaleSheetLayoutView="81" zoomScalePageLayoutView="0" workbookViewId="0" topLeftCell="A1">
      <pane xSplit="2" ySplit="6" topLeftCell="C4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4" sqref="A54:IV60"/>
    </sheetView>
  </sheetViews>
  <sheetFormatPr defaultColWidth="9.140625" defaultRowHeight="12.75"/>
  <cols>
    <col min="1" max="1" width="9.00390625" style="13" customWidth="1"/>
    <col min="2" max="2" width="30.8515625" style="13" customWidth="1"/>
    <col min="3" max="5" width="17.28125" style="13" customWidth="1"/>
    <col min="6" max="6" width="18.140625" style="13" customWidth="1"/>
    <col min="7" max="7" width="20.00390625" style="13" customWidth="1"/>
    <col min="8" max="8" width="21.00390625" style="14" customWidth="1"/>
    <col min="9" max="9" width="18.421875" style="14" customWidth="1"/>
    <col min="10" max="13" width="19.28125" style="14" customWidth="1"/>
    <col min="14" max="16" width="18.28125" style="14" customWidth="1"/>
    <col min="17" max="17" width="17.140625" style="14" customWidth="1"/>
    <col min="18" max="18" width="19.140625" style="1" customWidth="1"/>
    <col min="19" max="19" width="16.57421875" style="1" customWidth="1"/>
    <col min="20" max="20" width="21.28125" style="1" customWidth="1"/>
    <col min="21" max="21" width="25.140625" style="1" customWidth="1"/>
    <col min="22" max="22" width="26.00390625" style="1" customWidth="1"/>
    <col min="23" max="24" width="28.7109375" style="1" customWidth="1"/>
    <col min="25" max="16384" width="9.140625" style="1" customWidth="1"/>
  </cols>
  <sheetData>
    <row r="1" spans="1:17" ht="15.75">
      <c r="A1" s="45"/>
      <c r="B1" s="45"/>
      <c r="C1" s="45"/>
      <c r="D1" s="45"/>
      <c r="E1" s="45"/>
      <c r="F1" s="45"/>
      <c r="G1" s="107" t="s">
        <v>64</v>
      </c>
      <c r="H1" s="107"/>
      <c r="I1" s="45"/>
      <c r="J1" s="45"/>
      <c r="K1" s="45"/>
      <c r="L1" s="45"/>
      <c r="M1" s="45"/>
      <c r="N1" s="45"/>
      <c r="O1" s="45"/>
      <c r="P1" s="45"/>
      <c r="Q1" s="45"/>
    </row>
    <row r="2" spans="1:26" ht="18.75">
      <c r="A2" s="46"/>
      <c r="B2" s="46"/>
      <c r="C2" s="46"/>
      <c r="D2" s="46"/>
      <c r="E2" s="108" t="s">
        <v>86</v>
      </c>
      <c r="F2" s="108"/>
      <c r="G2" s="108"/>
      <c r="H2" s="108"/>
      <c r="I2" s="2"/>
      <c r="J2" s="2"/>
      <c r="K2" s="2"/>
      <c r="L2" s="2"/>
      <c r="M2" s="2"/>
      <c r="N2" s="2"/>
      <c r="O2" s="2"/>
      <c r="P2" s="2"/>
      <c r="Q2" s="2"/>
      <c r="T2" s="48"/>
      <c r="U2" s="48"/>
      <c r="V2" s="48"/>
      <c r="W2" s="48"/>
      <c r="X2" s="48"/>
      <c r="Y2" s="48"/>
      <c r="Z2" s="48"/>
    </row>
    <row r="3" spans="1:26" ht="27.75" customHeight="1">
      <c r="A3" s="100" t="s">
        <v>0</v>
      </c>
      <c r="B3" s="97" t="s">
        <v>63</v>
      </c>
      <c r="C3" s="103" t="s">
        <v>87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3" t="s">
        <v>87</v>
      </c>
      <c r="O3" s="104"/>
      <c r="P3" s="104"/>
      <c r="Q3" s="104"/>
      <c r="R3" s="104"/>
      <c r="S3" s="104"/>
      <c r="T3" s="106" t="s">
        <v>87</v>
      </c>
      <c r="U3" s="106"/>
      <c r="V3" s="106"/>
      <c r="W3" s="106"/>
      <c r="X3" s="106"/>
      <c r="Y3" s="49"/>
      <c r="Z3" s="49"/>
    </row>
    <row r="4" spans="1:26" ht="27.75" customHeight="1">
      <c r="A4" s="101"/>
      <c r="B4" s="98"/>
      <c r="C4" s="103" t="s">
        <v>46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3" t="s">
        <v>46</v>
      </c>
      <c r="O4" s="104"/>
      <c r="P4" s="104"/>
      <c r="Q4" s="104"/>
      <c r="R4" s="104"/>
      <c r="S4" s="104"/>
      <c r="T4" s="106" t="s">
        <v>46</v>
      </c>
      <c r="U4" s="106"/>
      <c r="V4" s="106"/>
      <c r="W4" s="106"/>
      <c r="X4" s="106"/>
      <c r="Y4" s="49"/>
      <c r="Z4" s="49"/>
    </row>
    <row r="5" spans="1:24" ht="27.75" customHeight="1">
      <c r="A5" s="101"/>
      <c r="B5" s="98"/>
      <c r="C5" s="103" t="s">
        <v>49</v>
      </c>
      <c r="D5" s="104"/>
      <c r="E5" s="105"/>
      <c r="F5" s="106" t="s">
        <v>47</v>
      </c>
      <c r="G5" s="106" t="s">
        <v>85</v>
      </c>
      <c r="H5" s="106" t="s">
        <v>88</v>
      </c>
      <c r="I5" s="106" t="s">
        <v>69</v>
      </c>
      <c r="J5" s="106" t="s">
        <v>68</v>
      </c>
      <c r="K5" s="106" t="s">
        <v>70</v>
      </c>
      <c r="L5" s="106" t="s">
        <v>50</v>
      </c>
      <c r="M5" s="106" t="s">
        <v>51</v>
      </c>
      <c r="N5" s="103" t="s">
        <v>49</v>
      </c>
      <c r="O5" s="104"/>
      <c r="P5" s="105"/>
      <c r="Q5" s="106" t="s">
        <v>47</v>
      </c>
      <c r="R5" s="106" t="s">
        <v>85</v>
      </c>
      <c r="S5" s="106" t="s">
        <v>88</v>
      </c>
      <c r="T5" s="109" t="s">
        <v>69</v>
      </c>
      <c r="U5" s="109" t="s">
        <v>68</v>
      </c>
      <c r="V5" s="109" t="s">
        <v>70</v>
      </c>
      <c r="W5" s="106" t="s">
        <v>50</v>
      </c>
      <c r="X5" s="110" t="s">
        <v>52</v>
      </c>
    </row>
    <row r="6" spans="1:24" ht="192" customHeight="1">
      <c r="A6" s="102"/>
      <c r="B6" s="99"/>
      <c r="C6" s="57" t="s">
        <v>66</v>
      </c>
      <c r="D6" s="58" t="s">
        <v>67</v>
      </c>
      <c r="E6" s="58" t="s">
        <v>65</v>
      </c>
      <c r="F6" s="106"/>
      <c r="G6" s="106"/>
      <c r="H6" s="106"/>
      <c r="I6" s="106"/>
      <c r="J6" s="106"/>
      <c r="K6" s="106"/>
      <c r="L6" s="106"/>
      <c r="M6" s="106"/>
      <c r="N6" s="58" t="s">
        <v>71</v>
      </c>
      <c r="O6" s="58" t="s">
        <v>72</v>
      </c>
      <c r="P6" s="59" t="s">
        <v>73</v>
      </c>
      <c r="Q6" s="106"/>
      <c r="R6" s="106"/>
      <c r="S6" s="106"/>
      <c r="T6" s="106"/>
      <c r="U6" s="106"/>
      <c r="V6" s="106"/>
      <c r="W6" s="106"/>
      <c r="X6" s="111"/>
    </row>
    <row r="7" spans="1:24" s="15" customFormat="1" ht="17.2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  <c r="Q7" s="34">
        <v>17</v>
      </c>
      <c r="R7" s="34">
        <v>18</v>
      </c>
      <c r="S7" s="34">
        <v>19</v>
      </c>
      <c r="T7" s="34">
        <v>20</v>
      </c>
      <c r="U7" s="34">
        <v>21</v>
      </c>
      <c r="V7" s="34">
        <v>22</v>
      </c>
      <c r="W7" s="34">
        <v>23</v>
      </c>
      <c r="X7" s="34">
        <v>24</v>
      </c>
    </row>
    <row r="8" spans="1:24" s="24" customFormat="1" ht="15.75">
      <c r="A8" s="30">
        <v>1</v>
      </c>
      <c r="B8" s="22" t="s">
        <v>1</v>
      </c>
      <c r="C8" s="62"/>
      <c r="D8" s="62"/>
      <c r="E8" s="63"/>
      <c r="F8" s="23">
        <v>95.41</v>
      </c>
      <c r="G8" s="29">
        <v>53.1</v>
      </c>
      <c r="H8" s="38">
        <f>ROUND(F8*G8/100*247,0)</f>
        <v>12514</v>
      </c>
      <c r="I8" s="38">
        <f aca="true" t="shared" si="0" ref="I8:I52">H8</f>
        <v>12514</v>
      </c>
      <c r="J8" s="38">
        <v>8923</v>
      </c>
      <c r="K8" s="38">
        <v>10941</v>
      </c>
      <c r="L8" s="38">
        <v>5823</v>
      </c>
      <c r="M8" s="38">
        <f>J8+L8</f>
        <v>14746</v>
      </c>
      <c r="N8" s="64">
        <v>102</v>
      </c>
      <c r="O8" s="64"/>
      <c r="P8" s="64">
        <v>1</v>
      </c>
      <c r="Q8" s="21">
        <v>103.9</v>
      </c>
      <c r="R8" s="29">
        <v>53.1</v>
      </c>
      <c r="S8" s="38">
        <f>ROUND((Q8)*R8/100*247,0)</f>
        <v>13627</v>
      </c>
      <c r="T8" s="37">
        <f aca="true" t="shared" si="1" ref="T8:T52">S8</f>
        <v>13627</v>
      </c>
      <c r="U8" s="37">
        <v>10153</v>
      </c>
      <c r="V8" s="38">
        <f>K8</f>
        <v>10941</v>
      </c>
      <c r="W8" s="37">
        <v>5823</v>
      </c>
      <c r="X8" s="37">
        <f>U8+W8</f>
        <v>15976</v>
      </c>
    </row>
    <row r="9" spans="1:24" s="24" customFormat="1" ht="15.75">
      <c r="A9" s="31">
        <v>2</v>
      </c>
      <c r="B9" s="22" t="s">
        <v>2</v>
      </c>
      <c r="C9" s="65">
        <v>25</v>
      </c>
      <c r="D9" s="65"/>
      <c r="E9" s="66"/>
      <c r="F9" s="23">
        <v>95.41</v>
      </c>
      <c r="G9" s="29">
        <v>53.1</v>
      </c>
      <c r="H9" s="38">
        <f aca="true" t="shared" si="2" ref="H9:H55">ROUND(F9*G9/100*247,0)</f>
        <v>12514</v>
      </c>
      <c r="I9" s="38">
        <f t="shared" si="0"/>
        <v>12514</v>
      </c>
      <c r="J9" s="38">
        <v>8923</v>
      </c>
      <c r="K9" s="38">
        <v>10397</v>
      </c>
      <c r="L9" s="38">
        <v>5823</v>
      </c>
      <c r="M9" s="38">
        <f aca="true" t="shared" si="3" ref="M9:M56">J9+L9</f>
        <v>14746</v>
      </c>
      <c r="N9" s="67">
        <v>102</v>
      </c>
      <c r="O9" s="67">
        <v>1</v>
      </c>
      <c r="P9" s="67">
        <v>1</v>
      </c>
      <c r="Q9" s="21">
        <v>103.9</v>
      </c>
      <c r="R9" s="29">
        <v>53.1</v>
      </c>
      <c r="S9" s="38">
        <f aca="true" t="shared" si="4" ref="S9:S55">ROUND((Q9)*R9/100*247,0)</f>
        <v>13627</v>
      </c>
      <c r="T9" s="37">
        <f t="shared" si="1"/>
        <v>13627</v>
      </c>
      <c r="U9" s="37">
        <v>10153</v>
      </c>
      <c r="V9" s="38">
        <f aca="true" t="shared" si="5" ref="V9:V52">K9</f>
        <v>10397</v>
      </c>
      <c r="W9" s="37">
        <v>5823</v>
      </c>
      <c r="X9" s="37">
        <f aca="true" t="shared" si="6" ref="X9:X56">U9+W9</f>
        <v>15976</v>
      </c>
    </row>
    <row r="10" spans="1:24" s="24" customFormat="1" ht="15.75">
      <c r="A10" s="30">
        <v>3</v>
      </c>
      <c r="B10" s="22" t="s">
        <v>3</v>
      </c>
      <c r="C10" s="65">
        <v>20</v>
      </c>
      <c r="D10" s="65"/>
      <c r="E10" s="66"/>
      <c r="F10" s="23">
        <v>95.41</v>
      </c>
      <c r="G10" s="29">
        <v>53.1</v>
      </c>
      <c r="H10" s="38">
        <f t="shared" si="2"/>
        <v>12514</v>
      </c>
      <c r="I10" s="38">
        <f t="shared" si="0"/>
        <v>12514</v>
      </c>
      <c r="J10" s="38">
        <v>8923</v>
      </c>
      <c r="K10" s="38">
        <v>10713</v>
      </c>
      <c r="L10" s="38">
        <v>5823</v>
      </c>
      <c r="M10" s="38">
        <f t="shared" si="3"/>
        <v>14746</v>
      </c>
      <c r="N10" s="67">
        <v>121</v>
      </c>
      <c r="O10" s="67">
        <v>1</v>
      </c>
      <c r="P10" s="67"/>
      <c r="Q10" s="21">
        <v>103.9</v>
      </c>
      <c r="R10" s="29">
        <v>53.1</v>
      </c>
      <c r="S10" s="38">
        <f t="shared" si="4"/>
        <v>13627</v>
      </c>
      <c r="T10" s="37">
        <f t="shared" si="1"/>
        <v>13627</v>
      </c>
      <c r="U10" s="37">
        <v>10153</v>
      </c>
      <c r="V10" s="38">
        <f t="shared" si="5"/>
        <v>10713</v>
      </c>
      <c r="W10" s="37">
        <v>5823</v>
      </c>
      <c r="X10" s="37">
        <f t="shared" si="6"/>
        <v>15976</v>
      </c>
    </row>
    <row r="11" spans="1:24" s="24" customFormat="1" ht="15.75">
      <c r="A11" s="31">
        <v>4</v>
      </c>
      <c r="B11" s="22" t="s">
        <v>4</v>
      </c>
      <c r="C11" s="65">
        <v>45</v>
      </c>
      <c r="D11" s="68"/>
      <c r="E11" s="66"/>
      <c r="F11" s="23">
        <v>95.41</v>
      </c>
      <c r="G11" s="29">
        <v>53.1</v>
      </c>
      <c r="H11" s="38">
        <f t="shared" si="2"/>
        <v>12514</v>
      </c>
      <c r="I11" s="38">
        <f t="shared" si="0"/>
        <v>12514</v>
      </c>
      <c r="J11" s="38">
        <v>8923</v>
      </c>
      <c r="K11" s="38">
        <v>9534</v>
      </c>
      <c r="L11" s="38">
        <v>5823</v>
      </c>
      <c r="M11" s="38">
        <f t="shared" si="3"/>
        <v>14746</v>
      </c>
      <c r="N11" s="67">
        <v>191</v>
      </c>
      <c r="O11" s="67">
        <v>4</v>
      </c>
      <c r="P11" s="67">
        <v>3</v>
      </c>
      <c r="Q11" s="21">
        <v>103.9</v>
      </c>
      <c r="R11" s="29">
        <v>53.1</v>
      </c>
      <c r="S11" s="38">
        <f t="shared" si="4"/>
        <v>13627</v>
      </c>
      <c r="T11" s="37">
        <f t="shared" si="1"/>
        <v>13627</v>
      </c>
      <c r="U11" s="37">
        <v>10153</v>
      </c>
      <c r="V11" s="38">
        <f t="shared" si="5"/>
        <v>9534</v>
      </c>
      <c r="W11" s="37">
        <v>5823</v>
      </c>
      <c r="X11" s="37">
        <f t="shared" si="6"/>
        <v>15976</v>
      </c>
    </row>
    <row r="12" spans="1:24" s="24" customFormat="1" ht="15.75">
      <c r="A12" s="30">
        <v>5</v>
      </c>
      <c r="B12" s="22" t="s">
        <v>5</v>
      </c>
      <c r="C12" s="65">
        <v>74</v>
      </c>
      <c r="D12" s="65">
        <v>1</v>
      </c>
      <c r="E12" s="66"/>
      <c r="F12" s="23">
        <v>95.41</v>
      </c>
      <c r="G12" s="29">
        <v>53.1</v>
      </c>
      <c r="H12" s="38">
        <f t="shared" si="2"/>
        <v>12514</v>
      </c>
      <c r="I12" s="38">
        <f t="shared" si="0"/>
        <v>12514</v>
      </c>
      <c r="J12" s="38">
        <v>8923</v>
      </c>
      <c r="K12" s="38">
        <v>8271</v>
      </c>
      <c r="L12" s="38">
        <v>5823</v>
      </c>
      <c r="M12" s="38">
        <f t="shared" si="3"/>
        <v>14746</v>
      </c>
      <c r="N12" s="67">
        <v>196</v>
      </c>
      <c r="O12" s="67"/>
      <c r="P12" s="67">
        <v>5</v>
      </c>
      <c r="Q12" s="21">
        <v>103.9</v>
      </c>
      <c r="R12" s="29">
        <v>53.1</v>
      </c>
      <c r="S12" s="38">
        <f t="shared" si="4"/>
        <v>13627</v>
      </c>
      <c r="T12" s="37">
        <f t="shared" si="1"/>
        <v>13627</v>
      </c>
      <c r="U12" s="37">
        <v>10153</v>
      </c>
      <c r="V12" s="38">
        <f t="shared" si="5"/>
        <v>8271</v>
      </c>
      <c r="W12" s="37">
        <v>5823</v>
      </c>
      <c r="X12" s="37">
        <f t="shared" si="6"/>
        <v>15976</v>
      </c>
    </row>
    <row r="13" spans="1:24" s="24" customFormat="1" ht="15.75">
      <c r="A13" s="31">
        <v>6</v>
      </c>
      <c r="B13" s="22" t="s">
        <v>6</v>
      </c>
      <c r="C13" s="65"/>
      <c r="D13" s="65"/>
      <c r="E13" s="66"/>
      <c r="F13" s="23">
        <v>95.41</v>
      </c>
      <c r="G13" s="29">
        <v>53.1</v>
      </c>
      <c r="H13" s="38">
        <f t="shared" si="2"/>
        <v>12514</v>
      </c>
      <c r="I13" s="38">
        <f t="shared" si="0"/>
        <v>12514</v>
      </c>
      <c r="J13" s="38">
        <v>8923</v>
      </c>
      <c r="K13" s="38">
        <v>9138</v>
      </c>
      <c r="L13" s="38">
        <v>5823</v>
      </c>
      <c r="M13" s="38">
        <f t="shared" si="3"/>
        <v>14746</v>
      </c>
      <c r="N13" s="67">
        <v>156</v>
      </c>
      <c r="O13" s="67">
        <v>3</v>
      </c>
      <c r="P13" s="67">
        <v>1</v>
      </c>
      <c r="Q13" s="21">
        <v>103.9</v>
      </c>
      <c r="R13" s="29">
        <v>53.1</v>
      </c>
      <c r="S13" s="38">
        <f t="shared" si="4"/>
        <v>13627</v>
      </c>
      <c r="T13" s="37">
        <f t="shared" si="1"/>
        <v>13627</v>
      </c>
      <c r="U13" s="37">
        <v>10153</v>
      </c>
      <c r="V13" s="38">
        <f t="shared" si="5"/>
        <v>9138</v>
      </c>
      <c r="W13" s="37">
        <v>5823</v>
      </c>
      <c r="X13" s="37">
        <f t="shared" si="6"/>
        <v>15976</v>
      </c>
    </row>
    <row r="14" spans="1:24" s="24" customFormat="1" ht="15.75">
      <c r="A14" s="30">
        <v>7</v>
      </c>
      <c r="B14" s="22" t="s">
        <v>7</v>
      </c>
      <c r="C14" s="69">
        <v>25</v>
      </c>
      <c r="D14" s="69"/>
      <c r="E14" s="70"/>
      <c r="F14" s="23">
        <v>95.41</v>
      </c>
      <c r="G14" s="29">
        <v>53.1</v>
      </c>
      <c r="H14" s="38">
        <f t="shared" si="2"/>
        <v>12514</v>
      </c>
      <c r="I14" s="38">
        <f t="shared" si="0"/>
        <v>12514</v>
      </c>
      <c r="J14" s="38">
        <v>8923</v>
      </c>
      <c r="K14" s="38">
        <v>8790</v>
      </c>
      <c r="L14" s="38">
        <v>5823</v>
      </c>
      <c r="M14" s="38">
        <f t="shared" si="3"/>
        <v>14746</v>
      </c>
      <c r="N14" s="67">
        <v>234</v>
      </c>
      <c r="O14" s="67">
        <v>1</v>
      </c>
      <c r="P14" s="67"/>
      <c r="Q14" s="21">
        <v>103.9</v>
      </c>
      <c r="R14" s="29">
        <v>53.1</v>
      </c>
      <c r="S14" s="38">
        <f t="shared" si="4"/>
        <v>13627</v>
      </c>
      <c r="T14" s="37">
        <f t="shared" si="1"/>
        <v>13627</v>
      </c>
      <c r="U14" s="37">
        <v>10153</v>
      </c>
      <c r="V14" s="38">
        <f t="shared" si="5"/>
        <v>8790</v>
      </c>
      <c r="W14" s="37">
        <v>5823</v>
      </c>
      <c r="X14" s="37">
        <f t="shared" si="6"/>
        <v>15976</v>
      </c>
    </row>
    <row r="15" spans="1:24" s="24" customFormat="1" ht="15.75">
      <c r="A15" s="31">
        <v>8</v>
      </c>
      <c r="B15" s="22" t="s">
        <v>8</v>
      </c>
      <c r="C15" s="65">
        <v>44</v>
      </c>
      <c r="D15" s="65"/>
      <c r="E15" s="66"/>
      <c r="F15" s="23">
        <v>95.41</v>
      </c>
      <c r="G15" s="29">
        <v>53.1</v>
      </c>
      <c r="H15" s="38">
        <f t="shared" si="2"/>
        <v>12514</v>
      </c>
      <c r="I15" s="38">
        <f t="shared" si="0"/>
        <v>12514</v>
      </c>
      <c r="J15" s="38">
        <v>8923</v>
      </c>
      <c r="K15" s="38">
        <v>7980</v>
      </c>
      <c r="L15" s="38">
        <v>5823</v>
      </c>
      <c r="M15" s="38">
        <f t="shared" si="3"/>
        <v>14746</v>
      </c>
      <c r="N15" s="67">
        <v>224</v>
      </c>
      <c r="O15" s="67"/>
      <c r="P15" s="67">
        <v>2</v>
      </c>
      <c r="Q15" s="21">
        <v>103.9</v>
      </c>
      <c r="R15" s="29">
        <v>53.1</v>
      </c>
      <c r="S15" s="38">
        <f t="shared" si="4"/>
        <v>13627</v>
      </c>
      <c r="T15" s="37">
        <f t="shared" si="1"/>
        <v>13627</v>
      </c>
      <c r="U15" s="37">
        <v>10153</v>
      </c>
      <c r="V15" s="38">
        <f t="shared" si="5"/>
        <v>7980</v>
      </c>
      <c r="W15" s="37">
        <v>5823</v>
      </c>
      <c r="X15" s="37">
        <f t="shared" si="6"/>
        <v>15976</v>
      </c>
    </row>
    <row r="16" spans="1:24" s="24" customFormat="1" ht="15.75">
      <c r="A16" s="30">
        <v>9</v>
      </c>
      <c r="B16" s="22" t="s">
        <v>9</v>
      </c>
      <c r="C16" s="65">
        <v>40</v>
      </c>
      <c r="D16" s="65">
        <v>1</v>
      </c>
      <c r="E16" s="66"/>
      <c r="F16" s="23">
        <v>95.41</v>
      </c>
      <c r="G16" s="29">
        <v>53.1</v>
      </c>
      <c r="H16" s="38">
        <f t="shared" si="2"/>
        <v>12514</v>
      </c>
      <c r="I16" s="38">
        <f t="shared" si="0"/>
        <v>12514</v>
      </c>
      <c r="J16" s="38">
        <v>8923</v>
      </c>
      <c r="K16" s="38">
        <v>12403</v>
      </c>
      <c r="L16" s="38">
        <v>5823</v>
      </c>
      <c r="M16" s="38">
        <f t="shared" si="3"/>
        <v>14746</v>
      </c>
      <c r="N16" s="67">
        <v>180</v>
      </c>
      <c r="O16" s="67">
        <v>2</v>
      </c>
      <c r="P16" s="67"/>
      <c r="Q16" s="21">
        <v>103.9</v>
      </c>
      <c r="R16" s="29">
        <v>53.1</v>
      </c>
      <c r="S16" s="38">
        <f t="shared" si="4"/>
        <v>13627</v>
      </c>
      <c r="T16" s="37">
        <f t="shared" si="1"/>
        <v>13627</v>
      </c>
      <c r="U16" s="37">
        <v>10153</v>
      </c>
      <c r="V16" s="38">
        <f t="shared" si="5"/>
        <v>12403</v>
      </c>
      <c r="W16" s="37">
        <v>5823</v>
      </c>
      <c r="X16" s="37">
        <f t="shared" si="6"/>
        <v>15976</v>
      </c>
    </row>
    <row r="17" spans="1:24" s="24" customFormat="1" ht="15.75">
      <c r="A17" s="31">
        <v>10</v>
      </c>
      <c r="B17" s="22" t="s">
        <v>10</v>
      </c>
      <c r="C17" s="65">
        <v>45</v>
      </c>
      <c r="D17" s="65"/>
      <c r="E17" s="66"/>
      <c r="F17" s="23">
        <v>95.41</v>
      </c>
      <c r="G17" s="29">
        <v>53.1</v>
      </c>
      <c r="H17" s="38">
        <f t="shared" si="2"/>
        <v>12514</v>
      </c>
      <c r="I17" s="38">
        <f t="shared" si="0"/>
        <v>12514</v>
      </c>
      <c r="J17" s="38">
        <v>8923</v>
      </c>
      <c r="K17" s="38">
        <v>10441</v>
      </c>
      <c r="L17" s="38">
        <v>5823</v>
      </c>
      <c r="M17" s="38">
        <f t="shared" si="3"/>
        <v>14746</v>
      </c>
      <c r="N17" s="67">
        <v>189</v>
      </c>
      <c r="O17" s="67"/>
      <c r="P17" s="67"/>
      <c r="Q17" s="21">
        <v>103.9</v>
      </c>
      <c r="R17" s="29">
        <v>53.1</v>
      </c>
      <c r="S17" s="38">
        <f t="shared" si="4"/>
        <v>13627</v>
      </c>
      <c r="T17" s="37">
        <f t="shared" si="1"/>
        <v>13627</v>
      </c>
      <c r="U17" s="37">
        <v>10153</v>
      </c>
      <c r="V17" s="38">
        <f t="shared" si="5"/>
        <v>10441</v>
      </c>
      <c r="W17" s="37">
        <v>5823</v>
      </c>
      <c r="X17" s="37">
        <f t="shared" si="6"/>
        <v>15976</v>
      </c>
    </row>
    <row r="18" spans="1:24" s="24" customFormat="1" ht="15.75">
      <c r="A18" s="30">
        <v>11</v>
      </c>
      <c r="B18" s="25" t="s">
        <v>11</v>
      </c>
      <c r="C18" s="71">
        <v>21</v>
      </c>
      <c r="D18" s="71">
        <v>1</v>
      </c>
      <c r="E18" s="72"/>
      <c r="F18" s="23">
        <v>95.41</v>
      </c>
      <c r="G18" s="29">
        <v>53.1</v>
      </c>
      <c r="H18" s="38">
        <f t="shared" si="2"/>
        <v>12514</v>
      </c>
      <c r="I18" s="38">
        <f t="shared" si="0"/>
        <v>12514</v>
      </c>
      <c r="J18" s="38">
        <v>8923</v>
      </c>
      <c r="K18" s="38">
        <v>21469</v>
      </c>
      <c r="L18" s="38">
        <v>5823</v>
      </c>
      <c r="M18" s="38">
        <f t="shared" si="3"/>
        <v>14746</v>
      </c>
      <c r="N18" s="73">
        <v>65</v>
      </c>
      <c r="O18" s="73">
        <v>1</v>
      </c>
      <c r="P18" s="73">
        <v>1</v>
      </c>
      <c r="Q18" s="21">
        <v>103.9</v>
      </c>
      <c r="R18" s="29">
        <v>53.1</v>
      </c>
      <c r="S18" s="38">
        <f t="shared" si="4"/>
        <v>13627</v>
      </c>
      <c r="T18" s="37">
        <f t="shared" si="1"/>
        <v>13627</v>
      </c>
      <c r="U18" s="37">
        <v>10153</v>
      </c>
      <c r="V18" s="38">
        <f t="shared" si="5"/>
        <v>21469</v>
      </c>
      <c r="W18" s="37">
        <v>5823</v>
      </c>
      <c r="X18" s="37">
        <f t="shared" si="6"/>
        <v>15976</v>
      </c>
    </row>
    <row r="19" spans="1:24" s="24" customFormat="1" ht="15.75">
      <c r="A19" s="31">
        <v>12</v>
      </c>
      <c r="B19" s="22" t="s">
        <v>25</v>
      </c>
      <c r="C19" s="65"/>
      <c r="D19" s="65"/>
      <c r="E19" s="66"/>
      <c r="F19" s="23">
        <v>68.03</v>
      </c>
      <c r="G19" s="29">
        <v>53.1</v>
      </c>
      <c r="H19" s="38">
        <f t="shared" si="2"/>
        <v>8923</v>
      </c>
      <c r="I19" s="38">
        <f t="shared" si="0"/>
        <v>8923</v>
      </c>
      <c r="J19" s="38">
        <v>8923</v>
      </c>
      <c r="K19" s="38">
        <v>28285</v>
      </c>
      <c r="L19" s="38">
        <v>5823</v>
      </c>
      <c r="M19" s="38">
        <f t="shared" si="3"/>
        <v>14746</v>
      </c>
      <c r="N19" s="67">
        <v>24</v>
      </c>
      <c r="O19" s="67">
        <v>1</v>
      </c>
      <c r="P19" s="67">
        <v>1</v>
      </c>
      <c r="Q19" s="36">
        <v>77.41</v>
      </c>
      <c r="R19" s="29">
        <v>53.1</v>
      </c>
      <c r="S19" s="38">
        <f t="shared" si="4"/>
        <v>10153</v>
      </c>
      <c r="T19" s="37">
        <f t="shared" si="1"/>
        <v>10153</v>
      </c>
      <c r="U19" s="37">
        <v>10153</v>
      </c>
      <c r="V19" s="38">
        <f t="shared" si="5"/>
        <v>28285</v>
      </c>
      <c r="W19" s="37">
        <v>5823</v>
      </c>
      <c r="X19" s="37">
        <f t="shared" si="6"/>
        <v>15976</v>
      </c>
    </row>
    <row r="20" spans="1:24" s="24" customFormat="1" ht="15.75">
      <c r="A20" s="30">
        <v>13</v>
      </c>
      <c r="B20" s="22" t="s">
        <v>24</v>
      </c>
      <c r="C20" s="69"/>
      <c r="D20" s="69"/>
      <c r="E20" s="70"/>
      <c r="F20" s="23">
        <v>68.03</v>
      </c>
      <c r="G20" s="29">
        <v>53.1</v>
      </c>
      <c r="H20" s="38">
        <f t="shared" si="2"/>
        <v>8923</v>
      </c>
      <c r="I20" s="38">
        <f t="shared" si="0"/>
        <v>8923</v>
      </c>
      <c r="J20" s="38">
        <v>8923</v>
      </c>
      <c r="K20" s="38">
        <v>19032</v>
      </c>
      <c r="L20" s="38">
        <v>5823</v>
      </c>
      <c r="M20" s="38">
        <f t="shared" si="3"/>
        <v>14746</v>
      </c>
      <c r="N20" s="67">
        <v>23</v>
      </c>
      <c r="O20" s="67"/>
      <c r="P20" s="67">
        <v>2</v>
      </c>
      <c r="Q20" s="36">
        <v>77.41</v>
      </c>
      <c r="R20" s="29">
        <v>53.1</v>
      </c>
      <c r="S20" s="38">
        <f t="shared" si="4"/>
        <v>10153</v>
      </c>
      <c r="T20" s="37">
        <f t="shared" si="1"/>
        <v>10153</v>
      </c>
      <c r="U20" s="37">
        <v>10153</v>
      </c>
      <c r="V20" s="38">
        <f t="shared" si="5"/>
        <v>19032</v>
      </c>
      <c r="W20" s="37">
        <v>5823</v>
      </c>
      <c r="X20" s="37">
        <f t="shared" si="6"/>
        <v>15976</v>
      </c>
    </row>
    <row r="21" spans="1:24" s="24" customFormat="1" ht="15.75">
      <c r="A21" s="31">
        <v>14</v>
      </c>
      <c r="B21" s="22" t="s">
        <v>12</v>
      </c>
      <c r="C21" s="65"/>
      <c r="D21" s="65"/>
      <c r="E21" s="66"/>
      <c r="F21" s="23">
        <v>68.03</v>
      </c>
      <c r="G21" s="29">
        <v>53.1</v>
      </c>
      <c r="H21" s="38">
        <f t="shared" si="2"/>
        <v>8923</v>
      </c>
      <c r="I21" s="38">
        <f t="shared" si="0"/>
        <v>8923</v>
      </c>
      <c r="J21" s="38">
        <v>8923</v>
      </c>
      <c r="K21" s="38">
        <v>11724</v>
      </c>
      <c r="L21" s="38">
        <v>5823</v>
      </c>
      <c r="M21" s="38">
        <f t="shared" si="3"/>
        <v>14746</v>
      </c>
      <c r="N21" s="67">
        <v>82</v>
      </c>
      <c r="O21" s="67">
        <v>4</v>
      </c>
      <c r="P21" s="67"/>
      <c r="Q21" s="36">
        <v>77.41</v>
      </c>
      <c r="R21" s="29">
        <v>53.1</v>
      </c>
      <c r="S21" s="38">
        <f t="shared" si="4"/>
        <v>10153</v>
      </c>
      <c r="T21" s="37">
        <f t="shared" si="1"/>
        <v>10153</v>
      </c>
      <c r="U21" s="37">
        <v>10153</v>
      </c>
      <c r="V21" s="38">
        <f t="shared" si="5"/>
        <v>11724</v>
      </c>
      <c r="W21" s="37">
        <v>5823</v>
      </c>
      <c r="X21" s="37">
        <f t="shared" si="6"/>
        <v>15976</v>
      </c>
    </row>
    <row r="22" spans="1:24" s="24" customFormat="1" ht="15.75">
      <c r="A22" s="30">
        <v>15</v>
      </c>
      <c r="B22" s="22" t="s">
        <v>13</v>
      </c>
      <c r="C22" s="65"/>
      <c r="D22" s="65"/>
      <c r="E22" s="66"/>
      <c r="F22" s="23">
        <v>68.03</v>
      </c>
      <c r="G22" s="29">
        <v>53.1</v>
      </c>
      <c r="H22" s="38">
        <f t="shared" si="2"/>
        <v>8923</v>
      </c>
      <c r="I22" s="38">
        <f t="shared" si="0"/>
        <v>8923</v>
      </c>
      <c r="J22" s="38">
        <v>8923</v>
      </c>
      <c r="K22" s="38">
        <v>18982</v>
      </c>
      <c r="L22" s="38">
        <v>5823</v>
      </c>
      <c r="M22" s="38">
        <f t="shared" si="3"/>
        <v>14746</v>
      </c>
      <c r="N22" s="67">
        <v>45</v>
      </c>
      <c r="O22" s="67"/>
      <c r="P22" s="67"/>
      <c r="Q22" s="36">
        <v>77.41</v>
      </c>
      <c r="R22" s="29">
        <v>53.1</v>
      </c>
      <c r="S22" s="38">
        <f t="shared" si="4"/>
        <v>10153</v>
      </c>
      <c r="T22" s="37">
        <f t="shared" si="1"/>
        <v>10153</v>
      </c>
      <c r="U22" s="37">
        <v>10153</v>
      </c>
      <c r="V22" s="38">
        <f t="shared" si="5"/>
        <v>18982</v>
      </c>
      <c r="W22" s="37">
        <v>5823</v>
      </c>
      <c r="X22" s="37">
        <f t="shared" si="6"/>
        <v>15976</v>
      </c>
    </row>
    <row r="23" spans="1:24" s="24" customFormat="1" ht="15.75">
      <c r="A23" s="31">
        <v>16</v>
      </c>
      <c r="B23" s="22" t="s">
        <v>14</v>
      </c>
      <c r="C23" s="65"/>
      <c r="D23" s="65"/>
      <c r="E23" s="66"/>
      <c r="F23" s="23">
        <v>68.03</v>
      </c>
      <c r="G23" s="29">
        <v>53.1</v>
      </c>
      <c r="H23" s="38">
        <f t="shared" si="2"/>
        <v>8923</v>
      </c>
      <c r="I23" s="38">
        <f t="shared" si="0"/>
        <v>8923</v>
      </c>
      <c r="J23" s="38">
        <v>8923</v>
      </c>
      <c r="K23" s="38">
        <v>16720</v>
      </c>
      <c r="L23" s="38">
        <v>5823</v>
      </c>
      <c r="M23" s="38">
        <f t="shared" si="3"/>
        <v>14746</v>
      </c>
      <c r="N23" s="67">
        <v>50</v>
      </c>
      <c r="O23" s="67"/>
      <c r="P23" s="67"/>
      <c r="Q23" s="36">
        <v>77.41</v>
      </c>
      <c r="R23" s="29">
        <v>53.1</v>
      </c>
      <c r="S23" s="38">
        <f t="shared" si="4"/>
        <v>10153</v>
      </c>
      <c r="T23" s="37">
        <f t="shared" si="1"/>
        <v>10153</v>
      </c>
      <c r="U23" s="37">
        <v>10153</v>
      </c>
      <c r="V23" s="38">
        <f t="shared" si="5"/>
        <v>16720</v>
      </c>
      <c r="W23" s="37">
        <v>5823</v>
      </c>
      <c r="X23" s="37">
        <f t="shared" si="6"/>
        <v>15976</v>
      </c>
    </row>
    <row r="24" spans="1:24" s="26" customFormat="1" ht="16.5" customHeight="1">
      <c r="A24" s="32">
        <v>17</v>
      </c>
      <c r="B24" s="25" t="s">
        <v>15</v>
      </c>
      <c r="C24" s="74"/>
      <c r="D24" s="74"/>
      <c r="E24" s="75"/>
      <c r="F24" s="23">
        <v>68.03</v>
      </c>
      <c r="G24" s="29">
        <v>53.1</v>
      </c>
      <c r="H24" s="38">
        <f t="shared" si="2"/>
        <v>8923</v>
      </c>
      <c r="I24" s="38">
        <f t="shared" si="0"/>
        <v>8923</v>
      </c>
      <c r="J24" s="38">
        <v>8923</v>
      </c>
      <c r="K24" s="38">
        <v>14441</v>
      </c>
      <c r="L24" s="38">
        <v>5823</v>
      </c>
      <c r="M24" s="38">
        <f t="shared" si="3"/>
        <v>14746</v>
      </c>
      <c r="N24" s="67">
        <v>63</v>
      </c>
      <c r="O24" s="67"/>
      <c r="P24" s="67">
        <v>1</v>
      </c>
      <c r="Q24" s="36">
        <v>77.41</v>
      </c>
      <c r="R24" s="29">
        <v>53.1</v>
      </c>
      <c r="S24" s="38">
        <f t="shared" si="4"/>
        <v>10153</v>
      </c>
      <c r="T24" s="37">
        <f t="shared" si="1"/>
        <v>10153</v>
      </c>
      <c r="U24" s="37">
        <v>10153</v>
      </c>
      <c r="V24" s="38">
        <f t="shared" si="5"/>
        <v>14441</v>
      </c>
      <c r="W24" s="37">
        <v>5823</v>
      </c>
      <c r="X24" s="37">
        <f t="shared" si="6"/>
        <v>15976</v>
      </c>
    </row>
    <row r="25" spans="1:24" s="24" customFormat="1" ht="19.5" customHeight="1">
      <c r="A25" s="31">
        <v>18</v>
      </c>
      <c r="B25" s="22" t="s">
        <v>26</v>
      </c>
      <c r="C25" s="76"/>
      <c r="D25" s="76"/>
      <c r="E25" s="77"/>
      <c r="F25" s="23">
        <v>68.03</v>
      </c>
      <c r="G25" s="29">
        <v>53.1</v>
      </c>
      <c r="H25" s="38">
        <f t="shared" si="2"/>
        <v>8923</v>
      </c>
      <c r="I25" s="38">
        <f t="shared" si="0"/>
        <v>8923</v>
      </c>
      <c r="J25" s="38">
        <v>8923</v>
      </c>
      <c r="K25" s="38">
        <v>37522</v>
      </c>
      <c r="L25" s="38">
        <v>5823</v>
      </c>
      <c r="M25" s="38">
        <f t="shared" si="3"/>
        <v>14746</v>
      </c>
      <c r="N25" s="67">
        <v>18</v>
      </c>
      <c r="O25" s="67"/>
      <c r="P25" s="67"/>
      <c r="Q25" s="36">
        <v>77.41</v>
      </c>
      <c r="R25" s="29">
        <v>53.1</v>
      </c>
      <c r="S25" s="38">
        <f t="shared" si="4"/>
        <v>10153</v>
      </c>
      <c r="T25" s="37">
        <f t="shared" si="1"/>
        <v>10153</v>
      </c>
      <c r="U25" s="37">
        <v>10153</v>
      </c>
      <c r="V25" s="38">
        <f t="shared" si="5"/>
        <v>37522</v>
      </c>
      <c r="W25" s="37">
        <v>5823</v>
      </c>
      <c r="X25" s="37">
        <f t="shared" si="6"/>
        <v>15976</v>
      </c>
    </row>
    <row r="26" spans="1:24" s="24" customFormat="1" ht="19.5" customHeight="1">
      <c r="A26" s="30">
        <v>19</v>
      </c>
      <c r="B26" s="22" t="s">
        <v>27</v>
      </c>
      <c r="C26" s="76"/>
      <c r="D26" s="76"/>
      <c r="E26" s="77"/>
      <c r="F26" s="23">
        <v>68.03</v>
      </c>
      <c r="G26" s="29">
        <v>53.1</v>
      </c>
      <c r="H26" s="38">
        <f t="shared" si="2"/>
        <v>8923</v>
      </c>
      <c r="I26" s="38">
        <f t="shared" si="0"/>
        <v>8923</v>
      </c>
      <c r="J26" s="38">
        <v>8923</v>
      </c>
      <c r="K26" s="38">
        <v>90163</v>
      </c>
      <c r="L26" s="38">
        <v>5823</v>
      </c>
      <c r="M26" s="38">
        <f t="shared" si="3"/>
        <v>14746</v>
      </c>
      <c r="N26" s="67">
        <v>8</v>
      </c>
      <c r="O26" s="67"/>
      <c r="P26" s="67"/>
      <c r="Q26" s="36">
        <v>77.41</v>
      </c>
      <c r="R26" s="29">
        <v>53.1</v>
      </c>
      <c r="S26" s="38">
        <f t="shared" si="4"/>
        <v>10153</v>
      </c>
      <c r="T26" s="37">
        <f t="shared" si="1"/>
        <v>10153</v>
      </c>
      <c r="U26" s="37">
        <v>10153</v>
      </c>
      <c r="V26" s="38">
        <f t="shared" si="5"/>
        <v>90163</v>
      </c>
      <c r="W26" s="37">
        <v>5823</v>
      </c>
      <c r="X26" s="37">
        <f t="shared" si="6"/>
        <v>15976</v>
      </c>
    </row>
    <row r="27" spans="1:24" s="24" customFormat="1" ht="18" customHeight="1">
      <c r="A27" s="31">
        <v>20</v>
      </c>
      <c r="B27" s="22" t="s">
        <v>28</v>
      </c>
      <c r="C27" s="76"/>
      <c r="D27" s="76"/>
      <c r="E27" s="77"/>
      <c r="F27" s="23">
        <v>68.03</v>
      </c>
      <c r="G27" s="29">
        <v>53.1</v>
      </c>
      <c r="H27" s="38">
        <f t="shared" si="2"/>
        <v>8923</v>
      </c>
      <c r="I27" s="38">
        <f t="shared" si="0"/>
        <v>8923</v>
      </c>
      <c r="J27" s="38">
        <v>8923</v>
      </c>
      <c r="K27" s="38">
        <v>58817</v>
      </c>
      <c r="L27" s="38">
        <v>5823</v>
      </c>
      <c r="M27" s="38">
        <f t="shared" si="3"/>
        <v>14746</v>
      </c>
      <c r="N27" s="67">
        <v>12</v>
      </c>
      <c r="O27" s="67"/>
      <c r="P27" s="67"/>
      <c r="Q27" s="36">
        <v>77.41</v>
      </c>
      <c r="R27" s="29">
        <v>53.1</v>
      </c>
      <c r="S27" s="38">
        <f t="shared" si="4"/>
        <v>10153</v>
      </c>
      <c r="T27" s="37">
        <f t="shared" si="1"/>
        <v>10153</v>
      </c>
      <c r="U27" s="37">
        <v>10153</v>
      </c>
      <c r="V27" s="38">
        <f t="shared" si="5"/>
        <v>58817</v>
      </c>
      <c r="W27" s="37">
        <v>5823</v>
      </c>
      <c r="X27" s="37">
        <f t="shared" si="6"/>
        <v>15976</v>
      </c>
    </row>
    <row r="28" spans="1:24" s="24" customFormat="1" ht="18.75" customHeight="1">
      <c r="A28" s="30">
        <v>21</v>
      </c>
      <c r="B28" s="22" t="s">
        <v>29</v>
      </c>
      <c r="C28" s="76"/>
      <c r="D28" s="76"/>
      <c r="E28" s="77"/>
      <c r="F28" s="23">
        <v>68.03</v>
      </c>
      <c r="G28" s="29">
        <v>53.1</v>
      </c>
      <c r="H28" s="38">
        <f t="shared" si="2"/>
        <v>8923</v>
      </c>
      <c r="I28" s="38">
        <f t="shared" si="0"/>
        <v>8923</v>
      </c>
      <c r="J28" s="38">
        <v>8923</v>
      </c>
      <c r="K28" s="38">
        <v>25544</v>
      </c>
      <c r="L28" s="38">
        <v>5823</v>
      </c>
      <c r="M28" s="38">
        <f t="shared" si="3"/>
        <v>14746</v>
      </c>
      <c r="N28" s="67">
        <v>26</v>
      </c>
      <c r="O28" s="67"/>
      <c r="P28" s="67">
        <v>1</v>
      </c>
      <c r="Q28" s="36">
        <v>77.41</v>
      </c>
      <c r="R28" s="29">
        <v>53.1</v>
      </c>
      <c r="S28" s="38">
        <f t="shared" si="4"/>
        <v>10153</v>
      </c>
      <c r="T28" s="37">
        <f t="shared" si="1"/>
        <v>10153</v>
      </c>
      <c r="U28" s="37">
        <v>10153</v>
      </c>
      <c r="V28" s="38">
        <f t="shared" si="5"/>
        <v>25544</v>
      </c>
      <c r="W28" s="37">
        <v>5823</v>
      </c>
      <c r="X28" s="37">
        <f t="shared" si="6"/>
        <v>15976</v>
      </c>
    </row>
    <row r="29" spans="1:24" s="24" customFormat="1" ht="20.25" customHeight="1">
      <c r="A29" s="31">
        <v>22</v>
      </c>
      <c r="B29" s="22" t="s">
        <v>16</v>
      </c>
      <c r="C29" s="62"/>
      <c r="D29" s="62"/>
      <c r="E29" s="63"/>
      <c r="F29" s="23">
        <v>68.03</v>
      </c>
      <c r="G29" s="29">
        <v>53.1</v>
      </c>
      <c r="H29" s="38">
        <f t="shared" si="2"/>
        <v>8923</v>
      </c>
      <c r="I29" s="38">
        <f t="shared" si="0"/>
        <v>8923</v>
      </c>
      <c r="J29" s="38">
        <v>8923</v>
      </c>
      <c r="K29" s="38">
        <v>12095</v>
      </c>
      <c r="L29" s="38">
        <v>5823</v>
      </c>
      <c r="M29" s="38">
        <f t="shared" si="3"/>
        <v>14746</v>
      </c>
      <c r="N29" s="64">
        <v>92</v>
      </c>
      <c r="O29" s="64">
        <v>3</v>
      </c>
      <c r="P29" s="64"/>
      <c r="Q29" s="36">
        <v>77.41</v>
      </c>
      <c r="R29" s="29">
        <v>53.1</v>
      </c>
      <c r="S29" s="38">
        <f t="shared" si="4"/>
        <v>10153</v>
      </c>
      <c r="T29" s="37">
        <f t="shared" si="1"/>
        <v>10153</v>
      </c>
      <c r="U29" s="37">
        <v>10153</v>
      </c>
      <c r="V29" s="38">
        <f t="shared" si="5"/>
        <v>12095</v>
      </c>
      <c r="W29" s="37">
        <v>5823</v>
      </c>
      <c r="X29" s="37">
        <f t="shared" si="6"/>
        <v>15976</v>
      </c>
    </row>
    <row r="30" spans="1:24" s="24" customFormat="1" ht="15.75">
      <c r="A30" s="30">
        <v>23</v>
      </c>
      <c r="B30" s="22" t="s">
        <v>17</v>
      </c>
      <c r="C30" s="65"/>
      <c r="D30" s="65"/>
      <c r="E30" s="66"/>
      <c r="F30" s="23">
        <v>68.03</v>
      </c>
      <c r="G30" s="29">
        <v>53.1</v>
      </c>
      <c r="H30" s="38">
        <f t="shared" si="2"/>
        <v>8923</v>
      </c>
      <c r="I30" s="38">
        <f t="shared" si="0"/>
        <v>8923</v>
      </c>
      <c r="J30" s="38">
        <v>8923</v>
      </c>
      <c r="K30" s="38">
        <v>12546</v>
      </c>
      <c r="L30" s="38">
        <v>5823</v>
      </c>
      <c r="M30" s="38">
        <f t="shared" si="3"/>
        <v>14746</v>
      </c>
      <c r="N30" s="67">
        <v>90</v>
      </c>
      <c r="O30" s="67">
        <v>1</v>
      </c>
      <c r="P30" s="67"/>
      <c r="Q30" s="36">
        <v>77.41</v>
      </c>
      <c r="R30" s="29">
        <v>53.1</v>
      </c>
      <c r="S30" s="38">
        <f t="shared" si="4"/>
        <v>10153</v>
      </c>
      <c r="T30" s="37">
        <f t="shared" si="1"/>
        <v>10153</v>
      </c>
      <c r="U30" s="37">
        <v>10153</v>
      </c>
      <c r="V30" s="38">
        <f t="shared" si="5"/>
        <v>12546</v>
      </c>
      <c r="W30" s="37">
        <v>5823</v>
      </c>
      <c r="X30" s="37">
        <f t="shared" si="6"/>
        <v>15976</v>
      </c>
    </row>
    <row r="31" spans="1:24" s="26" customFormat="1" ht="18" customHeight="1">
      <c r="A31" s="31">
        <v>24</v>
      </c>
      <c r="B31" s="25" t="s">
        <v>18</v>
      </c>
      <c r="C31" s="76">
        <v>21</v>
      </c>
      <c r="D31" s="65"/>
      <c r="E31" s="66"/>
      <c r="F31" s="23">
        <v>68.03</v>
      </c>
      <c r="G31" s="29">
        <v>53.1</v>
      </c>
      <c r="H31" s="38">
        <f t="shared" si="2"/>
        <v>8923</v>
      </c>
      <c r="I31" s="38">
        <f t="shared" si="0"/>
        <v>8923</v>
      </c>
      <c r="J31" s="38">
        <v>8923</v>
      </c>
      <c r="K31" s="38">
        <v>10507</v>
      </c>
      <c r="L31" s="38">
        <v>5823</v>
      </c>
      <c r="M31" s="38">
        <f t="shared" si="3"/>
        <v>14746</v>
      </c>
      <c r="N31" s="67">
        <v>93</v>
      </c>
      <c r="O31" s="67">
        <v>2</v>
      </c>
      <c r="P31" s="67">
        <v>1</v>
      </c>
      <c r="Q31" s="36">
        <v>77.41</v>
      </c>
      <c r="R31" s="29">
        <v>53.1</v>
      </c>
      <c r="S31" s="38">
        <f t="shared" si="4"/>
        <v>10153</v>
      </c>
      <c r="T31" s="37">
        <f t="shared" si="1"/>
        <v>10153</v>
      </c>
      <c r="U31" s="37">
        <v>10153</v>
      </c>
      <c r="V31" s="38">
        <f t="shared" si="5"/>
        <v>10507</v>
      </c>
      <c r="W31" s="37">
        <v>5823</v>
      </c>
      <c r="X31" s="37">
        <f t="shared" si="6"/>
        <v>15976</v>
      </c>
    </row>
    <row r="32" spans="1:24" s="24" customFormat="1" ht="15.75">
      <c r="A32" s="30">
        <v>25</v>
      </c>
      <c r="B32" s="22" t="s">
        <v>19</v>
      </c>
      <c r="C32" s="65">
        <v>18</v>
      </c>
      <c r="D32" s="65"/>
      <c r="E32" s="66"/>
      <c r="F32" s="23">
        <v>68.03</v>
      </c>
      <c r="G32" s="29">
        <v>53.1</v>
      </c>
      <c r="H32" s="38">
        <f t="shared" si="2"/>
        <v>8923</v>
      </c>
      <c r="I32" s="38">
        <f t="shared" si="0"/>
        <v>8923</v>
      </c>
      <c r="J32" s="38">
        <v>8923</v>
      </c>
      <c r="K32" s="38">
        <v>8931</v>
      </c>
      <c r="L32" s="38">
        <v>5823</v>
      </c>
      <c r="M32" s="38">
        <f t="shared" si="3"/>
        <v>14746</v>
      </c>
      <c r="N32" s="67">
        <v>118</v>
      </c>
      <c r="O32" s="67">
        <v>1</v>
      </c>
      <c r="P32" s="67"/>
      <c r="Q32" s="36">
        <v>77.41</v>
      </c>
      <c r="R32" s="29">
        <v>53.1</v>
      </c>
      <c r="S32" s="38">
        <f t="shared" si="4"/>
        <v>10153</v>
      </c>
      <c r="T32" s="37">
        <f t="shared" si="1"/>
        <v>10153</v>
      </c>
      <c r="U32" s="37">
        <v>10153</v>
      </c>
      <c r="V32" s="38">
        <f t="shared" si="5"/>
        <v>8931</v>
      </c>
      <c r="W32" s="37">
        <v>5823</v>
      </c>
      <c r="X32" s="37">
        <f t="shared" si="6"/>
        <v>15976</v>
      </c>
    </row>
    <row r="33" spans="1:24" s="24" customFormat="1" ht="15.75">
      <c r="A33" s="31">
        <v>26</v>
      </c>
      <c r="B33" s="22" t="s">
        <v>20</v>
      </c>
      <c r="C33" s="78">
        <v>24</v>
      </c>
      <c r="D33" s="78"/>
      <c r="E33" s="79"/>
      <c r="F33" s="23">
        <v>68.03</v>
      </c>
      <c r="G33" s="29">
        <v>53.1</v>
      </c>
      <c r="H33" s="38">
        <f t="shared" si="2"/>
        <v>8923</v>
      </c>
      <c r="I33" s="38">
        <f t="shared" si="0"/>
        <v>8923</v>
      </c>
      <c r="J33" s="38">
        <v>8923</v>
      </c>
      <c r="K33" s="38">
        <v>10997</v>
      </c>
      <c r="L33" s="38">
        <v>5823</v>
      </c>
      <c r="M33" s="38">
        <f t="shared" si="3"/>
        <v>14746</v>
      </c>
      <c r="N33" s="80">
        <v>109</v>
      </c>
      <c r="O33" s="80">
        <v>3</v>
      </c>
      <c r="P33" s="80"/>
      <c r="Q33" s="36">
        <v>77.41</v>
      </c>
      <c r="R33" s="29">
        <v>53.1</v>
      </c>
      <c r="S33" s="38">
        <f t="shared" si="4"/>
        <v>10153</v>
      </c>
      <c r="T33" s="37">
        <f t="shared" si="1"/>
        <v>10153</v>
      </c>
      <c r="U33" s="37">
        <v>10153</v>
      </c>
      <c r="V33" s="38">
        <f t="shared" si="5"/>
        <v>10997</v>
      </c>
      <c r="W33" s="37">
        <v>5823</v>
      </c>
      <c r="X33" s="37">
        <f t="shared" si="6"/>
        <v>15976</v>
      </c>
    </row>
    <row r="34" spans="1:24" s="24" customFormat="1" ht="15.75">
      <c r="A34" s="30">
        <v>27</v>
      </c>
      <c r="B34" s="22" t="s">
        <v>30</v>
      </c>
      <c r="C34" s="65"/>
      <c r="D34" s="65"/>
      <c r="E34" s="66"/>
      <c r="F34" s="23">
        <v>68.03</v>
      </c>
      <c r="G34" s="29">
        <v>53.1</v>
      </c>
      <c r="H34" s="38">
        <f t="shared" si="2"/>
        <v>8923</v>
      </c>
      <c r="I34" s="38">
        <f t="shared" si="0"/>
        <v>8923</v>
      </c>
      <c r="J34" s="38">
        <v>8923</v>
      </c>
      <c r="K34" s="38">
        <v>34935</v>
      </c>
      <c r="L34" s="38">
        <v>5823</v>
      </c>
      <c r="M34" s="38">
        <f t="shared" si="3"/>
        <v>14746</v>
      </c>
      <c r="N34" s="67">
        <f>15+5</f>
        <v>20</v>
      </c>
      <c r="O34" s="67"/>
      <c r="P34" s="67"/>
      <c r="Q34" s="36">
        <v>77.41</v>
      </c>
      <c r="R34" s="29">
        <v>53.1</v>
      </c>
      <c r="S34" s="38">
        <f t="shared" si="4"/>
        <v>10153</v>
      </c>
      <c r="T34" s="37">
        <f t="shared" si="1"/>
        <v>10153</v>
      </c>
      <c r="U34" s="37">
        <v>10153</v>
      </c>
      <c r="V34" s="38">
        <f t="shared" si="5"/>
        <v>34935</v>
      </c>
      <c r="W34" s="37">
        <v>5823</v>
      </c>
      <c r="X34" s="37">
        <f t="shared" si="6"/>
        <v>15976</v>
      </c>
    </row>
    <row r="35" spans="1:24" s="24" customFormat="1" ht="15.75">
      <c r="A35" s="31">
        <v>28</v>
      </c>
      <c r="B35" s="22" t="s">
        <v>31</v>
      </c>
      <c r="C35" s="65"/>
      <c r="D35" s="65"/>
      <c r="E35" s="66"/>
      <c r="F35" s="23">
        <v>68.03</v>
      </c>
      <c r="G35" s="29">
        <v>53.1</v>
      </c>
      <c r="H35" s="38">
        <f t="shared" si="2"/>
        <v>8923</v>
      </c>
      <c r="I35" s="38">
        <f t="shared" si="0"/>
        <v>8923</v>
      </c>
      <c r="J35" s="38">
        <v>8923</v>
      </c>
      <c r="K35" s="38">
        <v>29089</v>
      </c>
      <c r="L35" s="38">
        <v>5823</v>
      </c>
      <c r="M35" s="38">
        <f t="shared" si="3"/>
        <v>14746</v>
      </c>
      <c r="N35" s="67">
        <v>18</v>
      </c>
      <c r="O35" s="67"/>
      <c r="P35" s="67"/>
      <c r="Q35" s="36">
        <v>77.41</v>
      </c>
      <c r="R35" s="29">
        <v>53.1</v>
      </c>
      <c r="S35" s="38">
        <f t="shared" si="4"/>
        <v>10153</v>
      </c>
      <c r="T35" s="37">
        <f t="shared" si="1"/>
        <v>10153</v>
      </c>
      <c r="U35" s="37">
        <v>10153</v>
      </c>
      <c r="V35" s="38">
        <f t="shared" si="5"/>
        <v>29089</v>
      </c>
      <c r="W35" s="37">
        <v>5823</v>
      </c>
      <c r="X35" s="37">
        <f t="shared" si="6"/>
        <v>15976</v>
      </c>
    </row>
    <row r="36" spans="1:24" s="24" customFormat="1" ht="15.75">
      <c r="A36" s="30">
        <v>29</v>
      </c>
      <c r="B36" s="22" t="s">
        <v>21</v>
      </c>
      <c r="C36" s="65"/>
      <c r="D36" s="65"/>
      <c r="E36" s="66"/>
      <c r="F36" s="23">
        <v>68.03</v>
      </c>
      <c r="G36" s="29">
        <v>53.1</v>
      </c>
      <c r="H36" s="38">
        <f t="shared" si="2"/>
        <v>8923</v>
      </c>
      <c r="I36" s="38">
        <f t="shared" si="0"/>
        <v>8923</v>
      </c>
      <c r="J36" s="38">
        <v>8923</v>
      </c>
      <c r="K36" s="38">
        <v>9887</v>
      </c>
      <c r="L36" s="38">
        <v>5823</v>
      </c>
      <c r="M36" s="38">
        <f t="shared" si="3"/>
        <v>14746</v>
      </c>
      <c r="N36" s="67">
        <v>62</v>
      </c>
      <c r="O36" s="67"/>
      <c r="P36" s="67"/>
      <c r="Q36" s="36">
        <v>77.41</v>
      </c>
      <c r="R36" s="29">
        <v>53.1</v>
      </c>
      <c r="S36" s="38">
        <f t="shared" si="4"/>
        <v>10153</v>
      </c>
      <c r="T36" s="37">
        <f t="shared" si="1"/>
        <v>10153</v>
      </c>
      <c r="U36" s="37">
        <v>10153</v>
      </c>
      <c r="V36" s="38">
        <f t="shared" si="5"/>
        <v>9887</v>
      </c>
      <c r="W36" s="37">
        <v>5823</v>
      </c>
      <c r="X36" s="37">
        <f t="shared" si="6"/>
        <v>15976</v>
      </c>
    </row>
    <row r="37" spans="1:24" s="24" customFormat="1" ht="15.75">
      <c r="A37" s="31">
        <v>30</v>
      </c>
      <c r="B37" s="22" t="s">
        <v>32</v>
      </c>
      <c r="C37" s="69"/>
      <c r="D37" s="69"/>
      <c r="E37" s="70"/>
      <c r="F37" s="23">
        <v>68.03</v>
      </c>
      <c r="G37" s="29">
        <v>53.1</v>
      </c>
      <c r="H37" s="38">
        <f t="shared" si="2"/>
        <v>8923</v>
      </c>
      <c r="I37" s="38">
        <f t="shared" si="0"/>
        <v>8923</v>
      </c>
      <c r="J37" s="38">
        <v>8923</v>
      </c>
      <c r="K37" s="38">
        <v>62575</v>
      </c>
      <c r="L37" s="38">
        <v>5823</v>
      </c>
      <c r="M37" s="38">
        <f t="shared" si="3"/>
        <v>14746</v>
      </c>
      <c r="N37" s="67">
        <v>12</v>
      </c>
      <c r="O37" s="67"/>
      <c r="P37" s="67"/>
      <c r="Q37" s="36">
        <v>77.41</v>
      </c>
      <c r="R37" s="29">
        <v>53.1</v>
      </c>
      <c r="S37" s="38">
        <f t="shared" si="4"/>
        <v>10153</v>
      </c>
      <c r="T37" s="37">
        <f t="shared" si="1"/>
        <v>10153</v>
      </c>
      <c r="U37" s="37">
        <v>10153</v>
      </c>
      <c r="V37" s="38">
        <f t="shared" si="5"/>
        <v>62575</v>
      </c>
      <c r="W37" s="37">
        <v>5823</v>
      </c>
      <c r="X37" s="37">
        <f t="shared" si="6"/>
        <v>15976</v>
      </c>
    </row>
    <row r="38" spans="1:24" s="24" customFormat="1" ht="17.25" customHeight="1">
      <c r="A38" s="30">
        <v>31</v>
      </c>
      <c r="B38" s="22" t="s">
        <v>33</v>
      </c>
      <c r="C38" s="69"/>
      <c r="D38" s="69"/>
      <c r="E38" s="70"/>
      <c r="F38" s="23">
        <v>68.03</v>
      </c>
      <c r="G38" s="29">
        <v>53.1</v>
      </c>
      <c r="H38" s="38">
        <f t="shared" si="2"/>
        <v>8923</v>
      </c>
      <c r="I38" s="38">
        <f t="shared" si="0"/>
        <v>8923</v>
      </c>
      <c r="J38" s="38">
        <v>8923</v>
      </c>
      <c r="K38" s="38">
        <v>24332</v>
      </c>
      <c r="L38" s="38">
        <v>5823</v>
      </c>
      <c r="M38" s="38">
        <f t="shared" si="3"/>
        <v>14746</v>
      </c>
      <c r="N38" s="67">
        <v>28</v>
      </c>
      <c r="O38" s="67">
        <v>3</v>
      </c>
      <c r="P38" s="67"/>
      <c r="Q38" s="36">
        <v>77.41</v>
      </c>
      <c r="R38" s="29">
        <v>53.1</v>
      </c>
      <c r="S38" s="38">
        <f t="shared" si="4"/>
        <v>10153</v>
      </c>
      <c r="T38" s="37">
        <f t="shared" si="1"/>
        <v>10153</v>
      </c>
      <c r="U38" s="37">
        <v>10153</v>
      </c>
      <c r="V38" s="38">
        <f t="shared" si="5"/>
        <v>24332</v>
      </c>
      <c r="W38" s="37">
        <v>5823</v>
      </c>
      <c r="X38" s="37">
        <f t="shared" si="6"/>
        <v>15976</v>
      </c>
    </row>
    <row r="39" spans="1:24" s="24" customFormat="1" ht="15.75">
      <c r="A39" s="31">
        <v>32</v>
      </c>
      <c r="B39" s="22" t="s">
        <v>34</v>
      </c>
      <c r="C39" s="65"/>
      <c r="D39" s="65"/>
      <c r="E39" s="66"/>
      <c r="F39" s="23">
        <v>68.03</v>
      </c>
      <c r="G39" s="29">
        <v>53.1</v>
      </c>
      <c r="H39" s="38">
        <f t="shared" si="2"/>
        <v>8923</v>
      </c>
      <c r="I39" s="38">
        <f t="shared" si="0"/>
        <v>8923</v>
      </c>
      <c r="J39" s="38">
        <v>8923</v>
      </c>
      <c r="K39" s="38">
        <v>5823</v>
      </c>
      <c r="L39" s="38">
        <v>5823</v>
      </c>
      <c r="M39" s="38">
        <f t="shared" si="3"/>
        <v>14746</v>
      </c>
      <c r="N39" s="67">
        <v>26</v>
      </c>
      <c r="O39" s="67"/>
      <c r="P39" s="67"/>
      <c r="Q39" s="36">
        <v>77.41</v>
      </c>
      <c r="R39" s="29">
        <v>53.1</v>
      </c>
      <c r="S39" s="38">
        <f t="shared" si="4"/>
        <v>10153</v>
      </c>
      <c r="T39" s="37">
        <f t="shared" si="1"/>
        <v>10153</v>
      </c>
      <c r="U39" s="37">
        <v>10153</v>
      </c>
      <c r="V39" s="38">
        <f t="shared" si="5"/>
        <v>5823</v>
      </c>
      <c r="W39" s="37">
        <v>5823</v>
      </c>
      <c r="X39" s="37">
        <f t="shared" si="6"/>
        <v>15976</v>
      </c>
    </row>
    <row r="40" spans="1:24" s="24" customFormat="1" ht="15.75">
      <c r="A40" s="30">
        <v>33</v>
      </c>
      <c r="B40" s="22" t="s">
        <v>35</v>
      </c>
      <c r="C40" s="65"/>
      <c r="D40" s="65"/>
      <c r="E40" s="66"/>
      <c r="F40" s="23">
        <v>68.03</v>
      </c>
      <c r="G40" s="29">
        <v>53.1</v>
      </c>
      <c r="H40" s="38">
        <f t="shared" si="2"/>
        <v>8923</v>
      </c>
      <c r="I40" s="38">
        <f t="shared" si="0"/>
        <v>8923</v>
      </c>
      <c r="J40" s="38">
        <v>8923</v>
      </c>
      <c r="K40" s="38">
        <v>30003</v>
      </c>
      <c r="L40" s="38">
        <v>5823</v>
      </c>
      <c r="M40" s="38">
        <f t="shared" si="3"/>
        <v>14746</v>
      </c>
      <c r="N40" s="67">
        <v>32</v>
      </c>
      <c r="O40" s="67"/>
      <c r="P40" s="67">
        <v>2</v>
      </c>
      <c r="Q40" s="36">
        <v>77.41</v>
      </c>
      <c r="R40" s="29">
        <v>53.1</v>
      </c>
      <c r="S40" s="38">
        <f t="shared" si="4"/>
        <v>10153</v>
      </c>
      <c r="T40" s="37">
        <f t="shared" si="1"/>
        <v>10153</v>
      </c>
      <c r="U40" s="37">
        <v>10153</v>
      </c>
      <c r="V40" s="38">
        <f t="shared" si="5"/>
        <v>30003</v>
      </c>
      <c r="W40" s="37">
        <v>5823</v>
      </c>
      <c r="X40" s="37">
        <f t="shared" si="6"/>
        <v>15976</v>
      </c>
    </row>
    <row r="41" spans="1:24" s="26" customFormat="1" ht="16.5" customHeight="1">
      <c r="A41" s="33">
        <v>34</v>
      </c>
      <c r="B41" s="25" t="s">
        <v>36</v>
      </c>
      <c r="C41" s="76"/>
      <c r="D41" s="65"/>
      <c r="E41" s="66"/>
      <c r="F41" s="23">
        <v>68.03</v>
      </c>
      <c r="G41" s="29">
        <v>53.1</v>
      </c>
      <c r="H41" s="38">
        <f t="shared" si="2"/>
        <v>8923</v>
      </c>
      <c r="I41" s="38">
        <f t="shared" si="0"/>
        <v>8923</v>
      </c>
      <c r="J41" s="38">
        <v>8923</v>
      </c>
      <c r="K41" s="38">
        <v>19723</v>
      </c>
      <c r="L41" s="38">
        <v>5823</v>
      </c>
      <c r="M41" s="38">
        <f t="shared" si="3"/>
        <v>14746</v>
      </c>
      <c r="N41" s="67">
        <v>22</v>
      </c>
      <c r="O41" s="67"/>
      <c r="P41" s="67"/>
      <c r="Q41" s="36">
        <v>77.41</v>
      </c>
      <c r="R41" s="29">
        <v>53.1</v>
      </c>
      <c r="S41" s="38">
        <f t="shared" si="4"/>
        <v>10153</v>
      </c>
      <c r="T41" s="37">
        <f t="shared" si="1"/>
        <v>10153</v>
      </c>
      <c r="U41" s="37">
        <v>10153</v>
      </c>
      <c r="V41" s="38">
        <f t="shared" si="5"/>
        <v>19723</v>
      </c>
      <c r="W41" s="37">
        <v>5823</v>
      </c>
      <c r="X41" s="37">
        <f t="shared" si="6"/>
        <v>15976</v>
      </c>
    </row>
    <row r="42" spans="1:24" s="26" customFormat="1" ht="15" customHeight="1">
      <c r="A42" s="32">
        <v>35</v>
      </c>
      <c r="B42" s="25" t="s">
        <v>37</v>
      </c>
      <c r="C42" s="76"/>
      <c r="D42" s="65"/>
      <c r="E42" s="66"/>
      <c r="F42" s="27">
        <v>68.03</v>
      </c>
      <c r="G42" s="29">
        <v>53.1</v>
      </c>
      <c r="H42" s="38">
        <f t="shared" si="2"/>
        <v>8923</v>
      </c>
      <c r="I42" s="38">
        <f t="shared" si="0"/>
        <v>8923</v>
      </c>
      <c r="J42" s="38">
        <v>8923</v>
      </c>
      <c r="K42" s="38">
        <v>22176</v>
      </c>
      <c r="L42" s="38">
        <v>5823</v>
      </c>
      <c r="M42" s="38">
        <f t="shared" si="3"/>
        <v>14746</v>
      </c>
      <c r="N42" s="67">
        <v>34</v>
      </c>
      <c r="O42" s="67"/>
      <c r="P42" s="67"/>
      <c r="Q42" s="36">
        <v>77.41</v>
      </c>
      <c r="R42" s="29">
        <v>53.1</v>
      </c>
      <c r="S42" s="38">
        <f t="shared" si="4"/>
        <v>10153</v>
      </c>
      <c r="T42" s="37">
        <f t="shared" si="1"/>
        <v>10153</v>
      </c>
      <c r="U42" s="37">
        <v>10153</v>
      </c>
      <c r="V42" s="38">
        <f t="shared" si="5"/>
        <v>22176</v>
      </c>
      <c r="W42" s="37">
        <v>5823</v>
      </c>
      <c r="X42" s="37">
        <f t="shared" si="6"/>
        <v>15976</v>
      </c>
    </row>
    <row r="43" spans="1:24" s="24" customFormat="1" ht="15.75" customHeight="1">
      <c r="A43" s="31">
        <v>36</v>
      </c>
      <c r="B43" s="22" t="s">
        <v>38</v>
      </c>
      <c r="C43" s="65"/>
      <c r="D43" s="65"/>
      <c r="E43" s="66"/>
      <c r="F43" s="23">
        <v>68.03</v>
      </c>
      <c r="G43" s="29">
        <v>53.1</v>
      </c>
      <c r="H43" s="38">
        <f t="shared" si="2"/>
        <v>8923</v>
      </c>
      <c r="I43" s="38">
        <f t="shared" si="0"/>
        <v>8923</v>
      </c>
      <c r="J43" s="38">
        <v>8923</v>
      </c>
      <c r="K43" s="38">
        <v>17502</v>
      </c>
      <c r="L43" s="38">
        <v>5823</v>
      </c>
      <c r="M43" s="38">
        <f t="shared" si="3"/>
        <v>14746</v>
      </c>
      <c r="N43" s="67">
        <v>63</v>
      </c>
      <c r="O43" s="67"/>
      <c r="P43" s="67"/>
      <c r="Q43" s="36">
        <v>77.41</v>
      </c>
      <c r="R43" s="29">
        <v>53.1</v>
      </c>
      <c r="S43" s="38">
        <f t="shared" si="4"/>
        <v>10153</v>
      </c>
      <c r="T43" s="37">
        <f t="shared" si="1"/>
        <v>10153</v>
      </c>
      <c r="U43" s="37">
        <v>10153</v>
      </c>
      <c r="V43" s="38">
        <f t="shared" si="5"/>
        <v>17502</v>
      </c>
      <c r="W43" s="37">
        <v>5823</v>
      </c>
      <c r="X43" s="37">
        <f t="shared" si="6"/>
        <v>15976</v>
      </c>
    </row>
    <row r="44" spans="1:24" s="24" customFormat="1" ht="15.75">
      <c r="A44" s="30">
        <v>37</v>
      </c>
      <c r="B44" s="22" t="s">
        <v>39</v>
      </c>
      <c r="C44" s="65"/>
      <c r="D44" s="65"/>
      <c r="E44" s="66"/>
      <c r="F44" s="23">
        <v>68.03</v>
      </c>
      <c r="G44" s="29">
        <v>53.1</v>
      </c>
      <c r="H44" s="38">
        <f t="shared" si="2"/>
        <v>8923</v>
      </c>
      <c r="I44" s="38">
        <f t="shared" si="0"/>
        <v>8923</v>
      </c>
      <c r="J44" s="38">
        <v>8923</v>
      </c>
      <c r="K44" s="50">
        <v>57117</v>
      </c>
      <c r="L44" s="38">
        <v>5823</v>
      </c>
      <c r="M44" s="50">
        <f t="shared" si="3"/>
        <v>14746</v>
      </c>
      <c r="N44" s="67">
        <v>12</v>
      </c>
      <c r="O44" s="67"/>
      <c r="P44" s="67"/>
      <c r="Q44" s="36">
        <v>77.41</v>
      </c>
      <c r="R44" s="29">
        <v>53.1</v>
      </c>
      <c r="S44" s="38">
        <f t="shared" si="4"/>
        <v>10153</v>
      </c>
      <c r="T44" s="37">
        <f t="shared" si="1"/>
        <v>10153</v>
      </c>
      <c r="U44" s="37">
        <v>10153</v>
      </c>
      <c r="V44" s="38">
        <f t="shared" si="5"/>
        <v>57117</v>
      </c>
      <c r="W44" s="37">
        <v>5823</v>
      </c>
      <c r="X44" s="37">
        <f t="shared" si="6"/>
        <v>15976</v>
      </c>
    </row>
    <row r="45" spans="1:24" s="24" customFormat="1" ht="15.75">
      <c r="A45" s="31">
        <v>38</v>
      </c>
      <c r="B45" s="22" t="s">
        <v>22</v>
      </c>
      <c r="C45" s="81"/>
      <c r="D45" s="81"/>
      <c r="E45" s="81"/>
      <c r="F45" s="23">
        <v>68.03</v>
      </c>
      <c r="G45" s="29">
        <v>53.1</v>
      </c>
      <c r="H45" s="38">
        <f t="shared" si="2"/>
        <v>8923</v>
      </c>
      <c r="I45" s="38">
        <f t="shared" si="0"/>
        <v>8923</v>
      </c>
      <c r="J45" s="38">
        <v>8923</v>
      </c>
      <c r="K45" s="50">
        <v>18538</v>
      </c>
      <c r="L45" s="38">
        <v>5823</v>
      </c>
      <c r="M45" s="50">
        <f t="shared" si="3"/>
        <v>14746</v>
      </c>
      <c r="N45" s="81">
        <v>40</v>
      </c>
      <c r="O45" s="81"/>
      <c r="P45" s="81"/>
      <c r="Q45" s="36">
        <v>77.41</v>
      </c>
      <c r="R45" s="29">
        <v>53.1</v>
      </c>
      <c r="S45" s="38">
        <f t="shared" si="4"/>
        <v>10153</v>
      </c>
      <c r="T45" s="37">
        <f t="shared" si="1"/>
        <v>10153</v>
      </c>
      <c r="U45" s="37">
        <v>10153</v>
      </c>
      <c r="V45" s="38">
        <f t="shared" si="5"/>
        <v>18538</v>
      </c>
      <c r="W45" s="37">
        <v>5823</v>
      </c>
      <c r="X45" s="37">
        <f t="shared" si="6"/>
        <v>15976</v>
      </c>
    </row>
    <row r="46" spans="1:24" s="24" customFormat="1" ht="15.75">
      <c r="A46" s="30">
        <v>39</v>
      </c>
      <c r="B46" s="22" t="s">
        <v>40</v>
      </c>
      <c r="C46" s="62"/>
      <c r="D46" s="62"/>
      <c r="E46" s="63"/>
      <c r="F46" s="23">
        <v>68.03</v>
      </c>
      <c r="G46" s="29">
        <v>53.1</v>
      </c>
      <c r="H46" s="38">
        <f t="shared" si="2"/>
        <v>8923</v>
      </c>
      <c r="I46" s="38">
        <f t="shared" si="0"/>
        <v>8923</v>
      </c>
      <c r="J46" s="38">
        <v>8923</v>
      </c>
      <c r="K46" s="50">
        <v>34641</v>
      </c>
      <c r="L46" s="38">
        <v>5823</v>
      </c>
      <c r="M46" s="50">
        <f t="shared" si="3"/>
        <v>14746</v>
      </c>
      <c r="N46" s="64">
        <v>22</v>
      </c>
      <c r="O46" s="64"/>
      <c r="P46" s="64"/>
      <c r="Q46" s="36">
        <v>77.41</v>
      </c>
      <c r="R46" s="29">
        <v>53.1</v>
      </c>
      <c r="S46" s="38">
        <f t="shared" si="4"/>
        <v>10153</v>
      </c>
      <c r="T46" s="37">
        <f t="shared" si="1"/>
        <v>10153</v>
      </c>
      <c r="U46" s="37">
        <v>10153</v>
      </c>
      <c r="V46" s="38">
        <f t="shared" si="5"/>
        <v>34641</v>
      </c>
      <c r="W46" s="37">
        <v>5823</v>
      </c>
      <c r="X46" s="37">
        <f t="shared" si="6"/>
        <v>15976</v>
      </c>
    </row>
    <row r="47" spans="1:24" s="24" customFormat="1" ht="15.75">
      <c r="A47" s="31">
        <v>40</v>
      </c>
      <c r="B47" s="22" t="s">
        <v>41</v>
      </c>
      <c r="C47" s="65"/>
      <c r="D47" s="65"/>
      <c r="E47" s="66"/>
      <c r="F47" s="23">
        <v>68.03</v>
      </c>
      <c r="G47" s="29">
        <v>53.1</v>
      </c>
      <c r="H47" s="38">
        <f t="shared" si="2"/>
        <v>8923</v>
      </c>
      <c r="I47" s="38">
        <f t="shared" si="0"/>
        <v>8923</v>
      </c>
      <c r="J47" s="38">
        <v>8923</v>
      </c>
      <c r="K47" s="50">
        <v>92671</v>
      </c>
      <c r="L47" s="38">
        <v>5823</v>
      </c>
      <c r="M47" s="50">
        <f t="shared" si="3"/>
        <v>14746</v>
      </c>
      <c r="N47" s="67">
        <v>7</v>
      </c>
      <c r="O47" s="67"/>
      <c r="P47" s="67"/>
      <c r="Q47" s="36">
        <v>77.41</v>
      </c>
      <c r="R47" s="29">
        <v>53.1</v>
      </c>
      <c r="S47" s="38">
        <f t="shared" si="4"/>
        <v>10153</v>
      </c>
      <c r="T47" s="37">
        <f t="shared" si="1"/>
        <v>10153</v>
      </c>
      <c r="U47" s="37">
        <v>10153</v>
      </c>
      <c r="V47" s="38">
        <f t="shared" si="5"/>
        <v>92671</v>
      </c>
      <c r="W47" s="37">
        <v>5823</v>
      </c>
      <c r="X47" s="37">
        <f t="shared" si="6"/>
        <v>15976</v>
      </c>
    </row>
    <row r="48" spans="1:24" s="24" customFormat="1" ht="15.75">
      <c r="A48" s="30">
        <v>41</v>
      </c>
      <c r="B48" s="22" t="s">
        <v>42</v>
      </c>
      <c r="C48" s="65"/>
      <c r="D48" s="65"/>
      <c r="E48" s="66"/>
      <c r="F48" s="23">
        <v>68.03</v>
      </c>
      <c r="G48" s="29">
        <v>53.1</v>
      </c>
      <c r="H48" s="38">
        <f t="shared" si="2"/>
        <v>8923</v>
      </c>
      <c r="I48" s="38">
        <f t="shared" si="0"/>
        <v>8923</v>
      </c>
      <c r="J48" s="38">
        <v>8923</v>
      </c>
      <c r="K48" s="50">
        <v>41353</v>
      </c>
      <c r="L48" s="38">
        <v>5823</v>
      </c>
      <c r="M48" s="50">
        <f t="shared" si="3"/>
        <v>14746</v>
      </c>
      <c r="N48" s="67">
        <v>15</v>
      </c>
      <c r="O48" s="67"/>
      <c r="P48" s="67"/>
      <c r="Q48" s="36">
        <v>77.41</v>
      </c>
      <c r="R48" s="29">
        <v>53.1</v>
      </c>
      <c r="S48" s="38">
        <f t="shared" si="4"/>
        <v>10153</v>
      </c>
      <c r="T48" s="37">
        <f t="shared" si="1"/>
        <v>10153</v>
      </c>
      <c r="U48" s="37">
        <v>10153</v>
      </c>
      <c r="V48" s="38">
        <f t="shared" si="5"/>
        <v>41353</v>
      </c>
      <c r="W48" s="37">
        <v>5823</v>
      </c>
      <c r="X48" s="37">
        <f t="shared" si="6"/>
        <v>15976</v>
      </c>
    </row>
    <row r="49" spans="1:24" s="24" customFormat="1" ht="15.75">
      <c r="A49" s="31">
        <v>42</v>
      </c>
      <c r="B49" s="22" t="s">
        <v>23</v>
      </c>
      <c r="C49" s="65"/>
      <c r="D49" s="65"/>
      <c r="E49" s="66"/>
      <c r="F49" s="23">
        <v>68.03</v>
      </c>
      <c r="G49" s="29">
        <v>53.1</v>
      </c>
      <c r="H49" s="38">
        <f t="shared" si="2"/>
        <v>8923</v>
      </c>
      <c r="I49" s="38">
        <f t="shared" si="0"/>
        <v>8923</v>
      </c>
      <c r="J49" s="38">
        <v>8923</v>
      </c>
      <c r="K49" s="50">
        <v>23714</v>
      </c>
      <c r="L49" s="38">
        <v>5823</v>
      </c>
      <c r="M49" s="50">
        <f t="shared" si="3"/>
        <v>14746</v>
      </c>
      <c r="N49" s="67"/>
      <c r="O49" s="67"/>
      <c r="P49" s="67"/>
      <c r="Q49" s="36">
        <v>77.41</v>
      </c>
      <c r="R49" s="29">
        <v>53.1</v>
      </c>
      <c r="S49" s="38">
        <f t="shared" si="4"/>
        <v>10153</v>
      </c>
      <c r="T49" s="37">
        <f t="shared" si="1"/>
        <v>10153</v>
      </c>
      <c r="U49" s="37">
        <v>10153</v>
      </c>
      <c r="V49" s="38">
        <f t="shared" si="5"/>
        <v>23714</v>
      </c>
      <c r="W49" s="37">
        <v>5823</v>
      </c>
      <c r="X49" s="37">
        <f t="shared" si="6"/>
        <v>15976</v>
      </c>
    </row>
    <row r="50" spans="1:24" s="24" customFormat="1" ht="15.75">
      <c r="A50" s="30">
        <v>43</v>
      </c>
      <c r="B50" s="22" t="s">
        <v>43</v>
      </c>
      <c r="C50" s="65"/>
      <c r="D50" s="65"/>
      <c r="E50" s="66"/>
      <c r="F50" s="23">
        <v>68.03</v>
      </c>
      <c r="G50" s="29">
        <v>53.1</v>
      </c>
      <c r="H50" s="38">
        <f t="shared" si="2"/>
        <v>8923</v>
      </c>
      <c r="I50" s="38">
        <f t="shared" si="0"/>
        <v>8923</v>
      </c>
      <c r="J50" s="38">
        <v>8923</v>
      </c>
      <c r="K50" s="50">
        <v>34256</v>
      </c>
      <c r="L50" s="38">
        <v>5823</v>
      </c>
      <c r="M50" s="50">
        <f t="shared" si="3"/>
        <v>14746</v>
      </c>
      <c r="N50" s="67">
        <v>21</v>
      </c>
      <c r="O50" s="67"/>
      <c r="P50" s="67"/>
      <c r="Q50" s="36">
        <v>77.41</v>
      </c>
      <c r="R50" s="29">
        <v>53.1</v>
      </c>
      <c r="S50" s="38">
        <f t="shared" si="4"/>
        <v>10153</v>
      </c>
      <c r="T50" s="37">
        <f t="shared" si="1"/>
        <v>10153</v>
      </c>
      <c r="U50" s="37">
        <v>10153</v>
      </c>
      <c r="V50" s="38">
        <f t="shared" si="5"/>
        <v>34256</v>
      </c>
      <c r="W50" s="37">
        <v>5823</v>
      </c>
      <c r="X50" s="37">
        <f t="shared" si="6"/>
        <v>15976</v>
      </c>
    </row>
    <row r="51" spans="1:24" s="24" customFormat="1" ht="34.5" customHeight="1">
      <c r="A51" s="31">
        <v>44</v>
      </c>
      <c r="B51" s="25" t="s">
        <v>44</v>
      </c>
      <c r="C51" s="76"/>
      <c r="D51" s="65"/>
      <c r="E51" s="66"/>
      <c r="F51" s="23">
        <v>68.03</v>
      </c>
      <c r="G51" s="29">
        <v>53.1</v>
      </c>
      <c r="H51" s="38">
        <f t="shared" si="2"/>
        <v>8923</v>
      </c>
      <c r="I51" s="38">
        <f t="shared" si="0"/>
        <v>8923</v>
      </c>
      <c r="J51" s="38">
        <v>8923</v>
      </c>
      <c r="K51" s="50">
        <v>26447</v>
      </c>
      <c r="L51" s="38">
        <v>5823</v>
      </c>
      <c r="M51" s="50">
        <f t="shared" si="3"/>
        <v>14746</v>
      </c>
      <c r="N51" s="81">
        <v>9</v>
      </c>
      <c r="O51" s="67"/>
      <c r="P51" s="67"/>
      <c r="Q51" s="36">
        <v>77.41</v>
      </c>
      <c r="R51" s="29">
        <v>53.1</v>
      </c>
      <c r="S51" s="38">
        <f t="shared" si="4"/>
        <v>10153</v>
      </c>
      <c r="T51" s="37">
        <f t="shared" si="1"/>
        <v>10153</v>
      </c>
      <c r="U51" s="37">
        <v>10153</v>
      </c>
      <c r="V51" s="38">
        <f t="shared" si="5"/>
        <v>26447</v>
      </c>
      <c r="W51" s="37">
        <v>5823</v>
      </c>
      <c r="X51" s="37">
        <f t="shared" si="6"/>
        <v>15976</v>
      </c>
    </row>
    <row r="52" spans="1:24" s="26" customFormat="1" ht="31.5">
      <c r="A52" s="33">
        <v>45</v>
      </c>
      <c r="B52" s="25" t="s">
        <v>45</v>
      </c>
      <c r="C52" s="76"/>
      <c r="D52" s="76"/>
      <c r="E52" s="77"/>
      <c r="F52" s="40">
        <v>68.03</v>
      </c>
      <c r="G52" s="29">
        <v>53.1</v>
      </c>
      <c r="H52" s="38">
        <f t="shared" si="2"/>
        <v>8923</v>
      </c>
      <c r="I52" s="38">
        <f t="shared" si="0"/>
        <v>8923</v>
      </c>
      <c r="J52" s="38">
        <v>8923</v>
      </c>
      <c r="K52" s="50">
        <v>28524</v>
      </c>
      <c r="L52" s="38">
        <v>5823</v>
      </c>
      <c r="M52" s="50">
        <f t="shared" si="3"/>
        <v>14746</v>
      </c>
      <c r="N52" s="82">
        <v>17</v>
      </c>
      <c r="O52" s="67"/>
      <c r="P52" s="67"/>
      <c r="Q52" s="83">
        <v>77.41</v>
      </c>
      <c r="R52" s="29">
        <v>53.1</v>
      </c>
      <c r="S52" s="38">
        <f t="shared" si="4"/>
        <v>10153</v>
      </c>
      <c r="T52" s="37">
        <f t="shared" si="1"/>
        <v>10153</v>
      </c>
      <c r="U52" s="37">
        <v>10153</v>
      </c>
      <c r="V52" s="38">
        <f t="shared" si="5"/>
        <v>28524</v>
      </c>
      <c r="W52" s="37">
        <v>5823</v>
      </c>
      <c r="X52" s="37">
        <f t="shared" si="6"/>
        <v>15976</v>
      </c>
    </row>
    <row r="53" spans="1:24" s="42" customFormat="1" ht="32.25" customHeight="1">
      <c r="A53" s="41"/>
      <c r="B53" s="39" t="s">
        <v>74</v>
      </c>
      <c r="C53" s="51">
        <f>SUM(C8:C52)</f>
        <v>402</v>
      </c>
      <c r="D53" s="51">
        <f>SUM(D8:D52)</f>
        <v>3</v>
      </c>
      <c r="E53" s="51">
        <f>SUM(E8:E52)</f>
        <v>0</v>
      </c>
      <c r="F53" s="28"/>
      <c r="G53" s="121"/>
      <c r="H53" s="122"/>
      <c r="I53" s="123"/>
      <c r="J53" s="123"/>
      <c r="K53" s="124"/>
      <c r="L53" s="124"/>
      <c r="M53" s="125"/>
      <c r="N53" s="125">
        <f>SUM(N8:N52)</f>
        <v>3073</v>
      </c>
      <c r="O53" s="125">
        <f>SUM(O8:O52)</f>
        <v>31</v>
      </c>
      <c r="P53" s="125">
        <f>SUM(P8:P52)</f>
        <v>22</v>
      </c>
      <c r="Q53" s="122"/>
      <c r="R53" s="126"/>
      <c r="S53" s="127"/>
      <c r="T53" s="128"/>
      <c r="U53" s="128"/>
      <c r="V53" s="129"/>
      <c r="W53" s="128"/>
      <c r="X53" s="130"/>
    </row>
    <row r="54" spans="1:24" s="140" customFormat="1" ht="15.75">
      <c r="A54" s="131"/>
      <c r="B54" s="132"/>
      <c r="C54" s="133"/>
      <c r="D54" s="133"/>
      <c r="E54" s="133"/>
      <c r="F54" s="134"/>
      <c r="G54" s="135"/>
      <c r="H54" s="133"/>
      <c r="I54" s="133"/>
      <c r="J54" s="133"/>
      <c r="K54" s="136"/>
      <c r="L54" s="133"/>
      <c r="M54" s="133"/>
      <c r="N54" s="133"/>
      <c r="O54" s="133"/>
      <c r="P54" s="137"/>
      <c r="Q54" s="138"/>
      <c r="R54" s="135"/>
      <c r="S54" s="133"/>
      <c r="T54" s="139"/>
      <c r="U54" s="139"/>
      <c r="V54" s="133"/>
      <c r="W54" s="139"/>
      <c r="X54" s="139"/>
    </row>
    <row r="55" spans="1:24" s="140" customFormat="1" ht="15.75">
      <c r="A55" s="131"/>
      <c r="B55" s="132"/>
      <c r="C55" s="133"/>
      <c r="D55" s="133"/>
      <c r="E55" s="133"/>
      <c r="F55" s="134"/>
      <c r="G55" s="135"/>
      <c r="H55" s="133"/>
      <c r="I55" s="133"/>
      <c r="J55" s="133"/>
      <c r="K55" s="136"/>
      <c r="L55" s="133"/>
      <c r="M55" s="133"/>
      <c r="N55" s="133"/>
      <c r="O55" s="133"/>
      <c r="P55" s="141"/>
      <c r="Q55" s="138"/>
      <c r="R55" s="135"/>
      <c r="S55" s="133"/>
      <c r="T55" s="139"/>
      <c r="U55" s="139"/>
      <c r="V55" s="133"/>
      <c r="W55" s="139"/>
      <c r="X55" s="139"/>
    </row>
    <row r="56" spans="1:24" s="148" customFormat="1" ht="15.75">
      <c r="A56" s="142"/>
      <c r="B56" s="143"/>
      <c r="C56" s="144"/>
      <c r="D56" s="144"/>
      <c r="E56" s="144"/>
      <c r="F56" s="145"/>
      <c r="G56" s="145"/>
      <c r="H56" s="146"/>
      <c r="I56" s="146"/>
      <c r="J56" s="144"/>
      <c r="K56" s="147"/>
      <c r="L56" s="147"/>
      <c r="M56" s="144"/>
      <c r="N56" s="144"/>
      <c r="O56" s="144"/>
      <c r="P56" s="144"/>
      <c r="Q56" s="146"/>
      <c r="T56" s="149"/>
      <c r="U56" s="139"/>
      <c r="W56" s="139"/>
      <c r="X56" s="139"/>
    </row>
    <row r="57" spans="1:17" s="48" customFormat="1" ht="18" customHeight="1">
      <c r="A57" s="150"/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s="48" customFormat="1" ht="15.75">
      <c r="A58" s="3"/>
      <c r="B58" s="4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s="48" customFormat="1" ht="15.75">
      <c r="A59" s="3"/>
      <c r="B59" s="55"/>
      <c r="C59" s="17"/>
      <c r="D59" s="17"/>
      <c r="E59" s="17"/>
      <c r="F59" s="17"/>
      <c r="G59" s="17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s="48" customFormat="1" ht="15.75">
      <c r="A60" s="3"/>
      <c r="B60" s="4"/>
      <c r="C60" s="17"/>
      <c r="D60" s="17"/>
      <c r="E60" s="17"/>
      <c r="F60" s="17"/>
      <c r="G60" s="17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5.75">
      <c r="A61" s="3"/>
      <c r="B61" s="4"/>
      <c r="C61" s="17"/>
      <c r="D61" s="17"/>
      <c r="E61" s="17"/>
      <c r="F61" s="17"/>
      <c r="G61" s="17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5.75">
      <c r="A62" s="3"/>
      <c r="B62" s="6"/>
      <c r="C62" s="6"/>
      <c r="D62" s="6"/>
      <c r="E62" s="6"/>
      <c r="F62" s="6"/>
      <c r="G62" s="6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5.75">
      <c r="A63" s="3"/>
      <c r="B63" s="6"/>
      <c r="C63" s="6"/>
      <c r="D63" s="6"/>
      <c r="E63" s="6"/>
      <c r="F63" s="6"/>
      <c r="G63" s="6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6.5" customHeight="1">
      <c r="A64" s="3"/>
      <c r="B64" s="4"/>
      <c r="C64" s="4"/>
      <c r="D64" s="4"/>
      <c r="E64" s="4"/>
      <c r="F64" s="4"/>
      <c r="G64" s="4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5.75">
      <c r="A65" s="3"/>
      <c r="B65" s="4"/>
      <c r="C65" s="4"/>
      <c r="D65" s="4"/>
      <c r="E65" s="4"/>
      <c r="F65" s="4"/>
      <c r="G65" s="4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5.75">
      <c r="A66" s="3"/>
      <c r="B66" s="4"/>
      <c r="C66" s="4"/>
      <c r="D66" s="4"/>
      <c r="E66" s="4"/>
      <c r="F66" s="4"/>
      <c r="G66" s="4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5.75">
      <c r="A67" s="3"/>
      <c r="B67" s="4"/>
      <c r="C67" s="4"/>
      <c r="D67" s="4"/>
      <c r="E67" s="4"/>
      <c r="F67" s="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5.75">
      <c r="A68" s="3"/>
      <c r="B68" s="4"/>
      <c r="C68" s="4"/>
      <c r="D68" s="4"/>
      <c r="E68" s="4"/>
      <c r="F68" s="4"/>
      <c r="G68" s="4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5.75">
      <c r="A69" s="3"/>
      <c r="B69" s="4"/>
      <c r="C69" s="4"/>
      <c r="D69" s="4"/>
      <c r="E69" s="4"/>
      <c r="F69" s="4"/>
      <c r="G69" s="4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5.75">
      <c r="A70" s="3"/>
      <c r="B70" s="7"/>
      <c r="C70" s="7"/>
      <c r="D70" s="7"/>
      <c r="E70" s="7"/>
      <c r="F70" s="7"/>
      <c r="G70" s="7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s="9" customFormat="1" ht="16.5" customHeight="1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1:17" ht="15.75">
      <c r="A72" s="3"/>
      <c r="B72" s="6"/>
      <c r="C72" s="6"/>
      <c r="D72" s="6"/>
      <c r="E72" s="6"/>
      <c r="F72" s="6"/>
      <c r="G72" s="6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5.75">
      <c r="A73" s="3"/>
      <c r="B73" s="6"/>
      <c r="C73" s="6"/>
      <c r="D73" s="6"/>
      <c r="E73" s="6"/>
      <c r="F73" s="6"/>
      <c r="G73" s="6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5.75">
      <c r="A74" s="3"/>
      <c r="B74" s="6"/>
      <c r="C74" s="6"/>
      <c r="D74" s="6"/>
      <c r="E74" s="6"/>
      <c r="F74" s="6"/>
      <c r="G74" s="6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5.75">
      <c r="A75" s="3"/>
      <c r="B75" s="6"/>
      <c r="C75" s="6"/>
      <c r="D75" s="6"/>
      <c r="E75" s="6"/>
      <c r="F75" s="6"/>
      <c r="G75" s="6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8" customHeight="1">
      <c r="A76" s="3"/>
      <c r="B76" s="6"/>
      <c r="C76" s="6"/>
      <c r="D76" s="6"/>
      <c r="E76" s="6"/>
      <c r="F76" s="6"/>
      <c r="G76" s="6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5.75">
      <c r="A77" s="3"/>
      <c r="B77" s="6"/>
      <c r="C77" s="6"/>
      <c r="D77" s="6"/>
      <c r="E77" s="6"/>
      <c r="F77" s="6"/>
      <c r="G77" s="6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5.75">
      <c r="A78" s="3"/>
      <c r="B78" s="6"/>
      <c r="C78" s="6"/>
      <c r="D78" s="6"/>
      <c r="E78" s="6"/>
      <c r="F78" s="6"/>
      <c r="G78" s="6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5.75">
      <c r="A79" s="3"/>
      <c r="B79" s="6"/>
      <c r="C79" s="6"/>
      <c r="D79" s="6"/>
      <c r="E79" s="6"/>
      <c r="F79" s="6"/>
      <c r="G79" s="6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5.75">
      <c r="A80" s="3"/>
      <c r="B80" s="6"/>
      <c r="C80" s="6"/>
      <c r="D80" s="6"/>
      <c r="E80" s="6"/>
      <c r="F80" s="6"/>
      <c r="G80" s="6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5.75">
      <c r="A81" s="3"/>
      <c r="B81" s="6"/>
      <c r="C81" s="6"/>
      <c r="D81" s="6"/>
      <c r="E81" s="6"/>
      <c r="F81" s="6"/>
      <c r="G81" s="6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5.75">
      <c r="A82" s="3"/>
      <c r="B82" s="4"/>
      <c r="C82" s="4"/>
      <c r="D82" s="4"/>
      <c r="E82" s="4"/>
      <c r="F82" s="4"/>
      <c r="G82" s="4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5.75">
      <c r="A83" s="3"/>
      <c r="B83" s="4"/>
      <c r="C83" s="4"/>
      <c r="D83" s="4"/>
      <c r="E83" s="4"/>
      <c r="F83" s="4"/>
      <c r="G83" s="4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5.75">
      <c r="A84" s="3"/>
      <c r="B84" s="4"/>
      <c r="C84" s="4"/>
      <c r="D84" s="4"/>
      <c r="E84" s="4"/>
      <c r="F84" s="4"/>
      <c r="G84" s="4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5.75">
      <c r="A85" s="3"/>
      <c r="B85" s="4"/>
      <c r="C85" s="4"/>
      <c r="D85" s="4"/>
      <c r="E85" s="4"/>
      <c r="F85" s="4"/>
      <c r="G85" s="4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5.75">
      <c r="A86" s="3"/>
      <c r="B86" s="4"/>
      <c r="C86" s="4"/>
      <c r="D86" s="4"/>
      <c r="E86" s="4"/>
      <c r="F86" s="4"/>
      <c r="G86" s="4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5.75">
      <c r="A87" s="3"/>
      <c r="B87" s="4"/>
      <c r="C87" s="4"/>
      <c r="D87" s="4"/>
      <c r="E87" s="4"/>
      <c r="F87" s="4"/>
      <c r="G87" s="4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5.75">
      <c r="A88" s="3"/>
      <c r="B88" s="4"/>
      <c r="C88" s="4"/>
      <c r="D88" s="4"/>
      <c r="E88" s="4"/>
      <c r="F88" s="4"/>
      <c r="G88" s="4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.75">
      <c r="A89" s="3"/>
      <c r="B89" s="4"/>
      <c r="C89" s="4"/>
      <c r="D89" s="4"/>
      <c r="E89" s="4"/>
      <c r="F89" s="4"/>
      <c r="G89" s="4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5.75">
      <c r="A90" s="3"/>
      <c r="B90" s="4"/>
      <c r="C90" s="4"/>
      <c r="D90" s="4"/>
      <c r="E90" s="4"/>
      <c r="F90" s="4"/>
      <c r="G90" s="4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5.75">
      <c r="A91" s="3"/>
      <c r="B91" s="4"/>
      <c r="C91" s="4"/>
      <c r="D91" s="4"/>
      <c r="E91" s="4"/>
      <c r="F91" s="4"/>
      <c r="G91" s="4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5.75">
      <c r="A92" s="3"/>
      <c r="B92" s="4"/>
      <c r="C92" s="4"/>
      <c r="D92" s="4"/>
      <c r="E92" s="4"/>
      <c r="F92" s="4"/>
      <c r="G92" s="4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5.75">
      <c r="A93" s="3"/>
      <c r="B93" s="4"/>
      <c r="C93" s="4"/>
      <c r="D93" s="4"/>
      <c r="E93" s="4"/>
      <c r="F93" s="4"/>
      <c r="G93" s="4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5.75">
      <c r="A94" s="3"/>
      <c r="B94" s="4"/>
      <c r="C94" s="4"/>
      <c r="D94" s="4"/>
      <c r="E94" s="4"/>
      <c r="F94" s="4"/>
      <c r="G94" s="4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5.75">
      <c r="A95" s="3"/>
      <c r="B95" s="4"/>
      <c r="C95" s="4"/>
      <c r="D95" s="4"/>
      <c r="E95" s="4"/>
      <c r="F95" s="4"/>
      <c r="G95" s="4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5.75">
      <c r="A96" s="3"/>
      <c r="B96" s="4"/>
      <c r="C96" s="4"/>
      <c r="D96" s="4"/>
      <c r="E96" s="4"/>
      <c r="F96" s="4"/>
      <c r="G96" s="4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5.75">
      <c r="A97" s="3"/>
      <c r="B97" s="4"/>
      <c r="C97" s="4"/>
      <c r="D97" s="4"/>
      <c r="E97" s="4"/>
      <c r="F97" s="4"/>
      <c r="G97" s="4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5.75">
      <c r="A98" s="3"/>
      <c r="B98" s="4"/>
      <c r="C98" s="4"/>
      <c r="D98" s="4"/>
      <c r="E98" s="4"/>
      <c r="F98" s="4"/>
      <c r="G98" s="4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5.75">
      <c r="A99" s="3"/>
      <c r="B99" s="4"/>
      <c r="C99" s="4"/>
      <c r="D99" s="4"/>
      <c r="E99" s="4"/>
      <c r="F99" s="4"/>
      <c r="G99" s="4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5.75">
      <c r="A100" s="3"/>
      <c r="B100" s="4"/>
      <c r="C100" s="4"/>
      <c r="D100" s="4"/>
      <c r="E100" s="4"/>
      <c r="F100" s="4"/>
      <c r="G100" s="4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5.75">
      <c r="A101" s="3"/>
      <c r="B101" s="4"/>
      <c r="C101" s="4"/>
      <c r="D101" s="4"/>
      <c r="E101" s="4"/>
      <c r="F101" s="4"/>
      <c r="G101" s="4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5.75">
      <c r="A102" s="3"/>
      <c r="B102" s="4"/>
      <c r="C102" s="4"/>
      <c r="D102" s="4"/>
      <c r="E102" s="4"/>
      <c r="F102" s="4"/>
      <c r="G102" s="4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5.75">
      <c r="A103" s="3"/>
      <c r="B103" s="4"/>
      <c r="C103" s="4"/>
      <c r="D103" s="4"/>
      <c r="E103" s="4"/>
      <c r="F103" s="4"/>
      <c r="G103" s="4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5.75">
      <c r="A104" s="3"/>
      <c r="B104" s="4"/>
      <c r="C104" s="4"/>
      <c r="D104" s="4"/>
      <c r="E104" s="4"/>
      <c r="F104" s="4"/>
      <c r="G104" s="4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5.75">
      <c r="A105" s="3"/>
      <c r="B105" s="4"/>
      <c r="C105" s="4"/>
      <c r="D105" s="4"/>
      <c r="E105" s="4"/>
      <c r="F105" s="4"/>
      <c r="G105" s="4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5.75">
      <c r="A106" s="3"/>
      <c r="B106" s="4"/>
      <c r="C106" s="4"/>
      <c r="D106" s="4"/>
      <c r="E106" s="4"/>
      <c r="F106" s="4"/>
      <c r="G106" s="4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5.75">
      <c r="A107" s="3"/>
      <c r="B107" s="4"/>
      <c r="C107" s="4"/>
      <c r="D107" s="4"/>
      <c r="E107" s="4"/>
      <c r="F107" s="4"/>
      <c r="G107" s="4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5.75">
      <c r="A108" s="3"/>
      <c r="B108" s="4"/>
      <c r="C108" s="4"/>
      <c r="D108" s="4"/>
      <c r="E108" s="4"/>
      <c r="F108" s="4"/>
      <c r="G108" s="4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5.75">
      <c r="A109" s="3"/>
      <c r="B109" s="4"/>
      <c r="C109" s="4"/>
      <c r="D109" s="4"/>
      <c r="E109" s="4"/>
      <c r="F109" s="4"/>
      <c r="G109" s="4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5.75">
      <c r="A110" s="3"/>
      <c r="B110" s="4"/>
      <c r="C110" s="4"/>
      <c r="D110" s="4"/>
      <c r="E110" s="4"/>
      <c r="F110" s="4"/>
      <c r="G110" s="4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5.75">
      <c r="A111" s="3"/>
      <c r="B111" s="4"/>
      <c r="C111" s="4"/>
      <c r="D111" s="4"/>
      <c r="E111" s="4"/>
      <c r="F111" s="4"/>
      <c r="G111" s="4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5.75">
      <c r="A112" s="3"/>
      <c r="B112" s="4"/>
      <c r="C112" s="4"/>
      <c r="D112" s="4"/>
      <c r="E112" s="4"/>
      <c r="F112" s="4"/>
      <c r="G112" s="4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5.75">
      <c r="A113" s="3"/>
      <c r="B113" s="4"/>
      <c r="C113" s="4"/>
      <c r="D113" s="4"/>
      <c r="E113" s="4"/>
      <c r="F113" s="4"/>
      <c r="G113" s="4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5.75">
      <c r="A114" s="3"/>
      <c r="B114" s="4"/>
      <c r="C114" s="4"/>
      <c r="D114" s="4"/>
      <c r="E114" s="4"/>
      <c r="F114" s="4"/>
      <c r="G114" s="4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5.75">
      <c r="A115" s="3"/>
      <c r="B115" s="4"/>
      <c r="C115" s="4"/>
      <c r="D115" s="4"/>
      <c r="E115" s="4"/>
      <c r="F115" s="4"/>
      <c r="G115" s="4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5.75">
      <c r="A116" s="10"/>
      <c r="B116" s="11"/>
      <c r="C116" s="11"/>
      <c r="D116" s="11"/>
      <c r="E116" s="11"/>
      <c r="F116" s="11"/>
      <c r="G116" s="11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5.75">
      <c r="A117" s="11"/>
      <c r="B117" s="11"/>
      <c r="C117" s="11"/>
      <c r="D117" s="11"/>
      <c r="E117" s="11"/>
      <c r="F117" s="11"/>
      <c r="G117" s="11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5.75">
      <c r="A118" s="10"/>
      <c r="B118" s="10"/>
      <c r="C118" s="10"/>
      <c r="D118" s="10"/>
      <c r="E118" s="10"/>
      <c r="F118" s="10"/>
      <c r="G118" s="10"/>
      <c r="H118" s="5"/>
      <c r="I118" s="5"/>
      <c r="J118" s="5"/>
      <c r="K118" s="5"/>
      <c r="L118" s="5"/>
      <c r="M118" s="5"/>
      <c r="N118" s="5"/>
      <c r="O118" s="5"/>
      <c r="P118" s="5"/>
      <c r="Q118" s="5"/>
    </row>
  </sheetData>
  <sheetProtection/>
  <mergeCells count="31">
    <mergeCell ref="T5:T6"/>
    <mergeCell ref="U5:U6"/>
    <mergeCell ref="V5:V6"/>
    <mergeCell ref="W5:W6"/>
    <mergeCell ref="X5:X6"/>
    <mergeCell ref="T3:X3"/>
    <mergeCell ref="T4:X4"/>
    <mergeCell ref="R5:R6"/>
    <mergeCell ref="S5:S6"/>
    <mergeCell ref="J5:J6"/>
    <mergeCell ref="K5:K6"/>
    <mergeCell ref="L5:L6"/>
    <mergeCell ref="M5:M6"/>
    <mergeCell ref="N5:P5"/>
    <mergeCell ref="G1:H1"/>
    <mergeCell ref="E2:H2"/>
    <mergeCell ref="C3:H3"/>
    <mergeCell ref="C4:H4"/>
    <mergeCell ref="F5:F6"/>
    <mergeCell ref="G5:G6"/>
    <mergeCell ref="H5:H6"/>
    <mergeCell ref="A71:Q71"/>
    <mergeCell ref="B3:B6"/>
    <mergeCell ref="A3:A6"/>
    <mergeCell ref="C5:E5"/>
    <mergeCell ref="I3:M3"/>
    <mergeCell ref="I4:M4"/>
    <mergeCell ref="I5:I6"/>
    <mergeCell ref="N3:S3"/>
    <mergeCell ref="N4:S4"/>
    <mergeCell ref="Q5:Q6"/>
  </mergeCells>
  <printOptions horizontalCentered="1"/>
  <pageMargins left="0.3937007874015748" right="0.1968503937007874" top="0.5905511811023623" bottom="0" header="0" footer="0"/>
  <pageSetup horizontalDpi="600" verticalDpi="600" orientation="portrait" paperSize="9" scale="58" r:id="rId1"/>
  <rowBreaks count="1" manualBreakCount="1">
    <brk id="56" max="255" man="1"/>
  </rowBreaks>
  <colBreaks count="2" manualBreakCount="2">
    <brk id="8" max="52" man="1"/>
    <brk id="19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view="pageBreakPreview" zoomScale="81" zoomScaleNormal="71" zoomScaleSheetLayoutView="81" zoomScalePageLayoutView="0" workbookViewId="0" topLeftCell="A1">
      <pane xSplit="2" ySplit="6" topLeftCell="Q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Z52" sqref="Z52:Z55"/>
    </sheetView>
  </sheetViews>
  <sheetFormatPr defaultColWidth="9.140625" defaultRowHeight="12.75"/>
  <cols>
    <col min="1" max="1" width="9.00390625" style="13" customWidth="1"/>
    <col min="2" max="2" width="30.8515625" style="13" customWidth="1"/>
    <col min="3" max="3" width="24.00390625" style="13" customWidth="1"/>
    <col min="4" max="4" width="19.421875" style="13" customWidth="1"/>
    <col min="5" max="6" width="17.28125" style="13" customWidth="1"/>
    <col min="7" max="8" width="26.421875" style="13" customWidth="1"/>
    <col min="9" max="10" width="17.00390625" style="13" customWidth="1"/>
    <col min="11" max="13" width="20.00390625" style="13" customWidth="1"/>
    <col min="14" max="15" width="24.421875" style="14" customWidth="1"/>
    <col min="16" max="16" width="18.28125" style="14" customWidth="1"/>
    <col min="17" max="17" width="17.140625" style="14" customWidth="1"/>
    <col min="18" max="19" width="22.8515625" style="14" customWidth="1"/>
    <col min="20" max="20" width="16.00390625" style="14" customWidth="1"/>
    <col min="21" max="21" width="13.140625" style="1" customWidth="1"/>
    <col min="22" max="22" width="14.28125" style="1" customWidth="1"/>
    <col min="23" max="23" width="13.8515625" style="1" customWidth="1"/>
    <col min="24" max="24" width="13.57421875" style="1" customWidth="1"/>
    <col min="25" max="25" width="19.421875" style="1" customWidth="1"/>
    <col min="26" max="16384" width="9.140625" style="1" customWidth="1"/>
  </cols>
  <sheetData>
    <row r="1" spans="1:20" ht="15.75">
      <c r="A1" s="45"/>
      <c r="B1" s="45"/>
      <c r="C1" s="45"/>
      <c r="D1" s="45"/>
      <c r="E1" s="45"/>
      <c r="F1" s="107" t="s">
        <v>91</v>
      </c>
      <c r="G1" s="107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8.75">
      <c r="A2" s="46"/>
      <c r="B2" s="46"/>
      <c r="C2" s="46"/>
      <c r="D2" s="108" t="s">
        <v>86</v>
      </c>
      <c r="E2" s="108"/>
      <c r="F2" s="108"/>
      <c r="G2" s="108"/>
      <c r="H2" s="46"/>
      <c r="I2" s="46"/>
      <c r="J2" s="61"/>
      <c r="K2" s="56"/>
      <c r="L2" s="56"/>
      <c r="M2" s="56"/>
      <c r="N2" s="2"/>
      <c r="O2" s="2"/>
      <c r="P2" s="2"/>
      <c r="Q2" s="2"/>
      <c r="R2" s="2"/>
      <c r="S2" s="2"/>
      <c r="T2" s="2"/>
    </row>
    <row r="3" spans="1:27" ht="43.5" customHeight="1">
      <c r="A3" s="100" t="s">
        <v>0</v>
      </c>
      <c r="B3" s="97" t="s">
        <v>63</v>
      </c>
      <c r="C3" s="113" t="s">
        <v>89</v>
      </c>
      <c r="D3" s="114"/>
      <c r="E3" s="114"/>
      <c r="F3" s="114"/>
      <c r="G3" s="114"/>
      <c r="H3" s="103" t="s">
        <v>87</v>
      </c>
      <c r="I3" s="104"/>
      <c r="J3" s="104"/>
      <c r="K3" s="104"/>
      <c r="L3" s="104"/>
      <c r="M3" s="104"/>
      <c r="N3" s="104" t="s">
        <v>89</v>
      </c>
      <c r="O3" s="104"/>
      <c r="P3" s="104"/>
      <c r="Q3" s="104"/>
      <c r="R3" s="104"/>
      <c r="S3" s="104" t="s">
        <v>89</v>
      </c>
      <c r="T3" s="104"/>
      <c r="U3" s="104"/>
      <c r="V3" s="104"/>
      <c r="W3" s="104"/>
      <c r="X3" s="104"/>
      <c r="Y3" s="105"/>
      <c r="Z3" s="49"/>
      <c r="AA3" s="49"/>
    </row>
    <row r="4" spans="1:27" ht="27.75" customHeight="1">
      <c r="A4" s="101"/>
      <c r="B4" s="98"/>
      <c r="C4" s="106" t="s">
        <v>46</v>
      </c>
      <c r="D4" s="106"/>
      <c r="E4" s="106"/>
      <c r="F4" s="106"/>
      <c r="G4" s="106"/>
      <c r="H4" s="103" t="s">
        <v>46</v>
      </c>
      <c r="I4" s="104"/>
      <c r="J4" s="104"/>
      <c r="K4" s="104"/>
      <c r="L4" s="104"/>
      <c r="M4" s="104"/>
      <c r="N4" s="104" t="s">
        <v>46</v>
      </c>
      <c r="O4" s="104"/>
      <c r="P4" s="104"/>
      <c r="Q4" s="104"/>
      <c r="R4" s="104"/>
      <c r="S4" s="104" t="s">
        <v>46</v>
      </c>
      <c r="T4" s="104"/>
      <c r="U4" s="104"/>
      <c r="V4" s="104"/>
      <c r="W4" s="104"/>
      <c r="X4" s="104"/>
      <c r="Y4" s="105"/>
      <c r="Z4" s="49"/>
      <c r="AA4" s="49"/>
    </row>
    <row r="5" spans="1:25" ht="27.75" customHeight="1">
      <c r="A5" s="101"/>
      <c r="B5" s="98"/>
      <c r="C5" s="103" t="s">
        <v>49</v>
      </c>
      <c r="D5" s="104"/>
      <c r="E5" s="105"/>
      <c r="F5" s="106" t="s">
        <v>68</v>
      </c>
      <c r="G5" s="112" t="s">
        <v>75</v>
      </c>
      <c r="H5" s="112" t="s">
        <v>94</v>
      </c>
      <c r="I5" s="106" t="s">
        <v>48</v>
      </c>
      <c r="J5" s="106" t="s">
        <v>85</v>
      </c>
      <c r="K5" s="106" t="s">
        <v>54</v>
      </c>
      <c r="L5" s="106" t="s">
        <v>55</v>
      </c>
      <c r="M5" s="106" t="s">
        <v>56</v>
      </c>
      <c r="N5" s="103" t="s">
        <v>49</v>
      </c>
      <c r="O5" s="104"/>
      <c r="P5" s="105"/>
      <c r="Q5" s="106" t="s">
        <v>68</v>
      </c>
      <c r="R5" s="112" t="s">
        <v>75</v>
      </c>
      <c r="S5" s="112" t="s">
        <v>94</v>
      </c>
      <c r="T5" s="106" t="s">
        <v>48</v>
      </c>
      <c r="U5" s="106" t="s">
        <v>85</v>
      </c>
      <c r="V5" s="114" t="s">
        <v>57</v>
      </c>
      <c r="W5" s="106" t="s">
        <v>59</v>
      </c>
      <c r="X5" s="106" t="s">
        <v>58</v>
      </c>
      <c r="Y5" s="106" t="s">
        <v>53</v>
      </c>
    </row>
    <row r="6" spans="1:25" ht="307.5" customHeight="1">
      <c r="A6" s="102"/>
      <c r="B6" s="99"/>
      <c r="C6" s="57" t="s">
        <v>66</v>
      </c>
      <c r="D6" s="58" t="s">
        <v>67</v>
      </c>
      <c r="E6" s="58" t="s">
        <v>65</v>
      </c>
      <c r="F6" s="106"/>
      <c r="G6" s="112"/>
      <c r="H6" s="112"/>
      <c r="I6" s="106"/>
      <c r="J6" s="106"/>
      <c r="K6" s="106"/>
      <c r="L6" s="106"/>
      <c r="M6" s="106"/>
      <c r="N6" s="57" t="s">
        <v>76</v>
      </c>
      <c r="O6" s="58" t="s">
        <v>72</v>
      </c>
      <c r="P6" s="58" t="s">
        <v>73</v>
      </c>
      <c r="Q6" s="106"/>
      <c r="R6" s="112"/>
      <c r="S6" s="112"/>
      <c r="T6" s="106"/>
      <c r="U6" s="106"/>
      <c r="V6" s="111"/>
      <c r="W6" s="106"/>
      <c r="X6" s="106"/>
      <c r="Y6" s="106"/>
    </row>
    <row r="7" spans="1:25" s="15" customFormat="1" ht="17.2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12</v>
      </c>
      <c r="J7" s="34">
        <v>13</v>
      </c>
      <c r="K7" s="34">
        <v>14</v>
      </c>
      <c r="L7" s="34">
        <v>15</v>
      </c>
      <c r="M7" s="34">
        <v>16</v>
      </c>
      <c r="N7" s="34">
        <v>17</v>
      </c>
      <c r="O7" s="34">
        <v>18</v>
      </c>
      <c r="P7" s="34">
        <v>19</v>
      </c>
      <c r="Q7" s="34">
        <v>20</v>
      </c>
      <c r="R7" s="34">
        <v>21</v>
      </c>
      <c r="S7" s="34">
        <v>22</v>
      </c>
      <c r="T7" s="34">
        <v>26</v>
      </c>
      <c r="U7" s="34">
        <v>27</v>
      </c>
      <c r="V7" s="34">
        <v>28</v>
      </c>
      <c r="W7" s="34">
        <v>29</v>
      </c>
      <c r="X7" s="34">
        <v>30</v>
      </c>
      <c r="Y7" s="34">
        <v>31</v>
      </c>
    </row>
    <row r="8" spans="1:26" s="24" customFormat="1" ht="15.75">
      <c r="A8" s="30">
        <v>1</v>
      </c>
      <c r="B8" s="22" t="s">
        <v>1</v>
      </c>
      <c r="C8" s="62"/>
      <c r="D8" s="62"/>
      <c r="E8" s="63"/>
      <c r="F8" s="38">
        <v>8923</v>
      </c>
      <c r="G8" s="35">
        <v>1.402</v>
      </c>
      <c r="H8" s="35">
        <f>S8</f>
        <v>0.909</v>
      </c>
      <c r="I8" s="23">
        <v>58</v>
      </c>
      <c r="J8" s="29">
        <v>53.1</v>
      </c>
      <c r="K8" s="29">
        <f>ROUND((C8*F8*G8/1000-C8*J8/100*I8*247/1000)*H8,1)</f>
        <v>0</v>
      </c>
      <c r="L8" s="29">
        <f>ROUND(D8*F8*G8/1000*H8,1)</f>
        <v>0</v>
      </c>
      <c r="M8" s="29">
        <f>ROUND(E8*F8*G8/1000*H8,1)</f>
        <v>0</v>
      </c>
      <c r="N8" s="64">
        <v>102</v>
      </c>
      <c r="O8" s="64"/>
      <c r="P8" s="64">
        <v>1</v>
      </c>
      <c r="Q8" s="38">
        <v>10153</v>
      </c>
      <c r="R8" s="84">
        <v>1.342</v>
      </c>
      <c r="S8" s="35">
        <v>0.909</v>
      </c>
      <c r="T8" s="85">
        <v>58</v>
      </c>
      <c r="U8" s="29">
        <v>53.1</v>
      </c>
      <c r="V8" s="43">
        <f>ROUND((N8*Q8*R8/1000-N8*U8/100*T8*247/1000)*S8,1)+0.5</f>
        <v>558.5</v>
      </c>
      <c r="W8" s="43">
        <f>ROUND(O8*Q8*R8/1000*S8,1)</f>
        <v>0</v>
      </c>
      <c r="X8" s="43">
        <f>ROUND(P8*Q8*R8/1000*S8,1)</f>
        <v>12.4</v>
      </c>
      <c r="Y8" s="43">
        <f aca="true" t="shared" si="0" ref="Y8:Y52">K8+L8+M8+V8+W8+X8</f>
        <v>570.9</v>
      </c>
      <c r="Z8" s="24">
        <f>Y8-'[1]2018-без налогов'!$AQ4</f>
        <v>0</v>
      </c>
    </row>
    <row r="9" spans="1:26" s="24" customFormat="1" ht="15.75">
      <c r="A9" s="31">
        <v>2</v>
      </c>
      <c r="B9" s="22" t="s">
        <v>2</v>
      </c>
      <c r="C9" s="65">
        <v>25</v>
      </c>
      <c r="D9" s="65"/>
      <c r="E9" s="66"/>
      <c r="F9" s="38">
        <v>8923</v>
      </c>
      <c r="G9" s="35">
        <v>1.402</v>
      </c>
      <c r="H9" s="35">
        <f aca="true" t="shared" si="1" ref="H9:H52">S9</f>
        <v>1.08</v>
      </c>
      <c r="I9" s="23">
        <v>58</v>
      </c>
      <c r="J9" s="29">
        <v>53.1</v>
      </c>
      <c r="K9" s="29">
        <f aca="true" t="shared" si="2" ref="K9:K52">ROUND((C9*F9*G9/1000-C9*J9/100*I9*247/1000)*H9,1)</f>
        <v>132.4</v>
      </c>
      <c r="L9" s="29">
        <f aca="true" t="shared" si="3" ref="L9:L52">ROUND(D9*F9*G9/1000*H9,1)</f>
        <v>0</v>
      </c>
      <c r="M9" s="29">
        <f aca="true" t="shared" si="4" ref="M9:M52">ROUND(E9*F9*G9/1000*H9,1)</f>
        <v>0</v>
      </c>
      <c r="N9" s="67">
        <v>102</v>
      </c>
      <c r="O9" s="67">
        <v>1</v>
      </c>
      <c r="P9" s="67">
        <v>1</v>
      </c>
      <c r="Q9" s="38">
        <v>10153</v>
      </c>
      <c r="R9" s="84">
        <v>1.342</v>
      </c>
      <c r="S9" s="35">
        <v>1.08</v>
      </c>
      <c r="T9" s="85">
        <v>58</v>
      </c>
      <c r="U9" s="29">
        <v>53.1</v>
      </c>
      <c r="V9" s="43">
        <f>ROUND((N9*Q9*R9/1000-N9*U9/100*T9*247/1000)*S9,1)-0.3</f>
        <v>662.7</v>
      </c>
      <c r="W9" s="43">
        <f aca="true" t="shared" si="5" ref="W9:W52">ROUND(O9*Q9*R9/1000*S9,1)</f>
        <v>14.7</v>
      </c>
      <c r="X9" s="43">
        <f aca="true" t="shared" si="6" ref="X9:X52">ROUND(P9*Q9*R9/1000*S9,1)</f>
        <v>14.7</v>
      </c>
      <c r="Y9" s="43">
        <f t="shared" si="0"/>
        <v>824.5000000000001</v>
      </c>
      <c r="Z9" s="24">
        <f>Y9-'[1]2018-без налогов'!$AQ5</f>
        <v>0</v>
      </c>
    </row>
    <row r="10" spans="1:26" s="24" customFormat="1" ht="15.75">
      <c r="A10" s="30">
        <v>3</v>
      </c>
      <c r="B10" s="22" t="s">
        <v>3</v>
      </c>
      <c r="C10" s="65">
        <v>20</v>
      </c>
      <c r="D10" s="65"/>
      <c r="E10" s="66"/>
      <c r="F10" s="38">
        <v>8923</v>
      </c>
      <c r="G10" s="35">
        <v>1.402</v>
      </c>
      <c r="H10" s="35">
        <f t="shared" si="1"/>
        <v>1.15</v>
      </c>
      <c r="I10" s="23">
        <v>58</v>
      </c>
      <c r="J10" s="29">
        <v>53.1</v>
      </c>
      <c r="K10" s="29">
        <f t="shared" si="2"/>
        <v>112.8</v>
      </c>
      <c r="L10" s="29">
        <f t="shared" si="3"/>
        <v>0</v>
      </c>
      <c r="M10" s="29">
        <f t="shared" si="4"/>
        <v>0</v>
      </c>
      <c r="N10" s="67">
        <v>121</v>
      </c>
      <c r="O10" s="67">
        <v>1</v>
      </c>
      <c r="P10" s="67"/>
      <c r="Q10" s="38">
        <v>10153</v>
      </c>
      <c r="R10" s="84">
        <v>1.342</v>
      </c>
      <c r="S10" s="35">
        <v>1.15</v>
      </c>
      <c r="T10" s="85">
        <v>58</v>
      </c>
      <c r="U10" s="29">
        <v>53.1</v>
      </c>
      <c r="V10" s="43">
        <f>ROUND((N10*Q10*R10/1000-N10*U10/100*T10*247/1000)*S10,1)-0.1</f>
        <v>837.3</v>
      </c>
      <c r="W10" s="43">
        <f t="shared" si="5"/>
        <v>15.7</v>
      </c>
      <c r="X10" s="43">
        <f t="shared" si="6"/>
        <v>0</v>
      </c>
      <c r="Y10" s="43">
        <f t="shared" si="0"/>
        <v>965.8</v>
      </c>
      <c r="Z10" s="24">
        <f>Y10-'[1]2018-без налогов'!$AQ6</f>
        <v>0</v>
      </c>
    </row>
    <row r="11" spans="1:26" s="24" customFormat="1" ht="15.75">
      <c r="A11" s="31">
        <v>4</v>
      </c>
      <c r="B11" s="22" t="s">
        <v>4</v>
      </c>
      <c r="C11" s="65">
        <v>45</v>
      </c>
      <c r="D11" s="68"/>
      <c r="E11" s="66"/>
      <c r="F11" s="38">
        <v>8923</v>
      </c>
      <c r="G11" s="35">
        <v>1.402</v>
      </c>
      <c r="H11" s="35">
        <f t="shared" si="1"/>
        <v>1.279</v>
      </c>
      <c r="I11" s="23">
        <v>58</v>
      </c>
      <c r="J11" s="29">
        <v>53.1</v>
      </c>
      <c r="K11" s="29">
        <f t="shared" si="2"/>
        <v>282.2</v>
      </c>
      <c r="L11" s="29">
        <f t="shared" si="3"/>
        <v>0</v>
      </c>
      <c r="M11" s="29">
        <f t="shared" si="4"/>
        <v>0</v>
      </c>
      <c r="N11" s="67">
        <v>191</v>
      </c>
      <c r="O11" s="67">
        <v>4</v>
      </c>
      <c r="P11" s="67">
        <v>3</v>
      </c>
      <c r="Q11" s="38">
        <v>10153</v>
      </c>
      <c r="R11" s="84">
        <v>1.342</v>
      </c>
      <c r="S11" s="35">
        <v>1.279</v>
      </c>
      <c r="T11" s="85">
        <v>58</v>
      </c>
      <c r="U11" s="29">
        <v>53.1</v>
      </c>
      <c r="V11" s="43">
        <f>ROUND((N11*Q11*R11/1000-N11*U11/100*T11*247/1000)*S11,1)-0.2</f>
        <v>1470</v>
      </c>
      <c r="W11" s="43">
        <f t="shared" si="5"/>
        <v>69.7</v>
      </c>
      <c r="X11" s="43">
        <f t="shared" si="6"/>
        <v>52.3</v>
      </c>
      <c r="Y11" s="43">
        <f t="shared" si="0"/>
        <v>1874.2</v>
      </c>
      <c r="Z11" s="24">
        <f>Y11-'[1]2018-без налогов'!$AQ7</f>
        <v>0</v>
      </c>
    </row>
    <row r="12" spans="1:26" s="24" customFormat="1" ht="15.75">
      <c r="A12" s="30">
        <v>5</v>
      </c>
      <c r="B12" s="22" t="s">
        <v>5</v>
      </c>
      <c r="C12" s="65">
        <v>74</v>
      </c>
      <c r="D12" s="65">
        <v>1</v>
      </c>
      <c r="E12" s="66"/>
      <c r="F12" s="38">
        <v>8923</v>
      </c>
      <c r="G12" s="35">
        <v>1.402</v>
      </c>
      <c r="H12" s="35">
        <f t="shared" si="1"/>
        <v>1.101</v>
      </c>
      <c r="I12" s="23">
        <v>58</v>
      </c>
      <c r="J12" s="29">
        <v>53.1</v>
      </c>
      <c r="K12" s="29">
        <f t="shared" si="2"/>
        <v>399.5</v>
      </c>
      <c r="L12" s="29">
        <f t="shared" si="3"/>
        <v>13.8</v>
      </c>
      <c r="M12" s="29">
        <f t="shared" si="4"/>
        <v>0</v>
      </c>
      <c r="N12" s="67">
        <v>196</v>
      </c>
      <c r="O12" s="67"/>
      <c r="P12" s="67">
        <v>5</v>
      </c>
      <c r="Q12" s="38">
        <v>10153</v>
      </c>
      <c r="R12" s="84">
        <v>1.342</v>
      </c>
      <c r="S12" s="35">
        <v>1.101</v>
      </c>
      <c r="T12" s="85">
        <v>58</v>
      </c>
      <c r="U12" s="29">
        <v>53.1</v>
      </c>
      <c r="V12" s="43">
        <f>ROUND((N12*Q12*R12/1000-N12*U12/100*T12*247/1000)*S12,1)+0.1</f>
        <v>1298.8</v>
      </c>
      <c r="W12" s="43">
        <f t="shared" si="5"/>
        <v>0</v>
      </c>
      <c r="X12" s="43">
        <f t="shared" si="6"/>
        <v>75</v>
      </c>
      <c r="Y12" s="43">
        <f t="shared" si="0"/>
        <v>1787.1</v>
      </c>
      <c r="Z12" s="24">
        <f>Y12-'[1]2018-без налогов'!$AQ8</f>
        <v>0</v>
      </c>
    </row>
    <row r="13" spans="1:26" s="24" customFormat="1" ht="15.75">
      <c r="A13" s="31">
        <v>6</v>
      </c>
      <c r="B13" s="22" t="s">
        <v>6</v>
      </c>
      <c r="C13" s="65"/>
      <c r="D13" s="65"/>
      <c r="E13" s="66"/>
      <c r="F13" s="38">
        <v>8923</v>
      </c>
      <c r="G13" s="35">
        <v>1.402</v>
      </c>
      <c r="H13" s="35">
        <f t="shared" si="1"/>
        <v>0.769</v>
      </c>
      <c r="I13" s="23">
        <v>58</v>
      </c>
      <c r="J13" s="29">
        <v>53.1</v>
      </c>
      <c r="K13" s="29">
        <f t="shared" si="2"/>
        <v>0</v>
      </c>
      <c r="L13" s="29">
        <f t="shared" si="3"/>
        <v>0</v>
      </c>
      <c r="M13" s="29">
        <f t="shared" si="4"/>
        <v>0</v>
      </c>
      <c r="N13" s="67">
        <v>156</v>
      </c>
      <c r="O13" s="67">
        <v>3</v>
      </c>
      <c r="P13" s="67">
        <v>1</v>
      </c>
      <c r="Q13" s="38">
        <v>10153</v>
      </c>
      <c r="R13" s="84">
        <v>1.342</v>
      </c>
      <c r="S13" s="35">
        <v>0.769</v>
      </c>
      <c r="T13" s="85">
        <v>58</v>
      </c>
      <c r="U13" s="29">
        <v>53.1</v>
      </c>
      <c r="V13" s="43">
        <f>ROUND((N13*Q13*R13/1000-N13*U13/100*T13*247/1000)*S13,1)-0.4</f>
        <v>721.6</v>
      </c>
      <c r="W13" s="43">
        <f t="shared" si="5"/>
        <v>31.4</v>
      </c>
      <c r="X13" s="43">
        <f t="shared" si="6"/>
        <v>10.5</v>
      </c>
      <c r="Y13" s="43">
        <f t="shared" si="0"/>
        <v>763.5</v>
      </c>
      <c r="Z13" s="24">
        <f>Y13-'[1]2018-без налогов'!$AQ9</f>
        <v>0</v>
      </c>
    </row>
    <row r="14" spans="1:26" s="24" customFormat="1" ht="15.75">
      <c r="A14" s="30">
        <v>7</v>
      </c>
      <c r="B14" s="22" t="s">
        <v>7</v>
      </c>
      <c r="C14" s="69">
        <v>25</v>
      </c>
      <c r="D14" s="69"/>
      <c r="E14" s="70"/>
      <c r="F14" s="38">
        <v>8923</v>
      </c>
      <c r="G14" s="35">
        <v>1.402</v>
      </c>
      <c r="H14" s="35">
        <f t="shared" si="1"/>
        <v>0.945</v>
      </c>
      <c r="I14" s="23">
        <v>58</v>
      </c>
      <c r="J14" s="29">
        <v>53.1</v>
      </c>
      <c r="K14" s="29">
        <f t="shared" si="2"/>
        <v>115.8</v>
      </c>
      <c r="L14" s="29">
        <f t="shared" si="3"/>
        <v>0</v>
      </c>
      <c r="M14" s="29">
        <f t="shared" si="4"/>
        <v>0</v>
      </c>
      <c r="N14" s="67">
        <v>234</v>
      </c>
      <c r="O14" s="67">
        <v>1</v>
      </c>
      <c r="P14" s="67"/>
      <c r="Q14" s="38">
        <v>10153</v>
      </c>
      <c r="R14" s="84">
        <v>1.342</v>
      </c>
      <c r="S14" s="35">
        <v>0.945</v>
      </c>
      <c r="T14" s="85">
        <v>58</v>
      </c>
      <c r="U14" s="29">
        <v>53.1</v>
      </c>
      <c r="V14" s="43">
        <f>ROUND((N14*Q14*R14/1000-N14*U14/100*T14*247/1000)*S14,1)+0.4</f>
        <v>1331.2</v>
      </c>
      <c r="W14" s="43">
        <f t="shared" si="5"/>
        <v>12.9</v>
      </c>
      <c r="X14" s="43">
        <f t="shared" si="6"/>
        <v>0</v>
      </c>
      <c r="Y14" s="43">
        <f t="shared" si="0"/>
        <v>1459.9</v>
      </c>
      <c r="Z14" s="24">
        <f>Y14-'[1]2018-без налогов'!$AQ10</f>
        <v>0</v>
      </c>
    </row>
    <row r="15" spans="1:26" s="24" customFormat="1" ht="15.75">
      <c r="A15" s="31">
        <v>8</v>
      </c>
      <c r="B15" s="22" t="s">
        <v>8</v>
      </c>
      <c r="C15" s="65">
        <v>44</v>
      </c>
      <c r="D15" s="65"/>
      <c r="E15" s="66"/>
      <c r="F15" s="38">
        <v>8923</v>
      </c>
      <c r="G15" s="35">
        <v>1.402</v>
      </c>
      <c r="H15" s="35">
        <f t="shared" si="1"/>
        <v>1.049</v>
      </c>
      <c r="I15" s="23">
        <v>58</v>
      </c>
      <c r="J15" s="29">
        <v>53.1</v>
      </c>
      <c r="K15" s="29">
        <f t="shared" si="2"/>
        <v>226.3</v>
      </c>
      <c r="L15" s="29">
        <f t="shared" si="3"/>
        <v>0</v>
      </c>
      <c r="M15" s="29">
        <f t="shared" si="4"/>
        <v>0</v>
      </c>
      <c r="N15" s="67">
        <v>224</v>
      </c>
      <c r="O15" s="67"/>
      <c r="P15" s="67">
        <v>2</v>
      </c>
      <c r="Q15" s="38">
        <v>10153</v>
      </c>
      <c r="R15" s="84">
        <v>1.342</v>
      </c>
      <c r="S15" s="35">
        <v>1.049</v>
      </c>
      <c r="T15" s="85">
        <v>58</v>
      </c>
      <c r="U15" s="29">
        <v>53.1</v>
      </c>
      <c r="V15" s="43">
        <f>ROUND((N15*Q15*R15/1000-N15*U15/100*T15*247/1000)*S15,1)+0.3</f>
        <v>1414.3999999999999</v>
      </c>
      <c r="W15" s="43">
        <f t="shared" si="5"/>
        <v>0</v>
      </c>
      <c r="X15" s="43">
        <f t="shared" si="6"/>
        <v>28.6</v>
      </c>
      <c r="Y15" s="43">
        <f t="shared" si="0"/>
        <v>1669.2999999999997</v>
      </c>
      <c r="Z15" s="24">
        <f>Y15-'[1]2018-без налогов'!$AQ11</f>
        <v>0</v>
      </c>
    </row>
    <row r="16" spans="1:26" s="24" customFormat="1" ht="15.75">
      <c r="A16" s="30">
        <v>9</v>
      </c>
      <c r="B16" s="22" t="s">
        <v>9</v>
      </c>
      <c r="C16" s="65">
        <v>40</v>
      </c>
      <c r="D16" s="65">
        <v>1</v>
      </c>
      <c r="E16" s="66"/>
      <c r="F16" s="38">
        <v>8923</v>
      </c>
      <c r="G16" s="35">
        <v>1.402</v>
      </c>
      <c r="H16" s="35">
        <f t="shared" si="1"/>
        <v>1.148</v>
      </c>
      <c r="I16" s="23">
        <v>58</v>
      </c>
      <c r="J16" s="29">
        <v>53.1</v>
      </c>
      <c r="K16" s="29">
        <f t="shared" si="2"/>
        <v>225.1</v>
      </c>
      <c r="L16" s="29">
        <f t="shared" si="3"/>
        <v>14.4</v>
      </c>
      <c r="M16" s="29">
        <f t="shared" si="4"/>
        <v>0</v>
      </c>
      <c r="N16" s="67">
        <v>180</v>
      </c>
      <c r="O16" s="67">
        <v>2</v>
      </c>
      <c r="P16" s="67"/>
      <c r="Q16" s="38">
        <v>10153</v>
      </c>
      <c r="R16" s="84">
        <v>1.342</v>
      </c>
      <c r="S16" s="35">
        <v>1.148</v>
      </c>
      <c r="T16" s="85">
        <v>58</v>
      </c>
      <c r="U16" s="29">
        <v>53.1</v>
      </c>
      <c r="V16" s="43">
        <f>ROUND((N16*Q16*R16/1000-N16*U16/100*T16*247/1000)*S16,1)-0.1</f>
        <v>1243.5</v>
      </c>
      <c r="W16" s="43">
        <f t="shared" si="5"/>
        <v>31.3</v>
      </c>
      <c r="X16" s="43">
        <f t="shared" si="6"/>
        <v>0</v>
      </c>
      <c r="Y16" s="43">
        <f t="shared" si="0"/>
        <v>1514.3</v>
      </c>
      <c r="Z16" s="24">
        <f>Y16-'[1]2018-без налогов'!$AQ12</f>
        <v>0</v>
      </c>
    </row>
    <row r="17" spans="1:26" s="24" customFormat="1" ht="15.75">
      <c r="A17" s="31">
        <v>10</v>
      </c>
      <c r="B17" s="22" t="s">
        <v>10</v>
      </c>
      <c r="C17" s="65">
        <v>45</v>
      </c>
      <c r="D17" s="65"/>
      <c r="E17" s="66"/>
      <c r="F17" s="38">
        <v>8923</v>
      </c>
      <c r="G17" s="35">
        <v>1.402</v>
      </c>
      <c r="H17" s="35">
        <f t="shared" si="1"/>
        <v>1.009</v>
      </c>
      <c r="I17" s="23">
        <v>58</v>
      </c>
      <c r="J17" s="29">
        <v>53.1</v>
      </c>
      <c r="K17" s="29">
        <f t="shared" si="2"/>
        <v>222.6</v>
      </c>
      <c r="L17" s="29">
        <f t="shared" si="3"/>
        <v>0</v>
      </c>
      <c r="M17" s="29">
        <f t="shared" si="4"/>
        <v>0</v>
      </c>
      <c r="N17" s="67">
        <v>189</v>
      </c>
      <c r="O17" s="67"/>
      <c r="P17" s="67"/>
      <c r="Q17" s="38">
        <v>10153</v>
      </c>
      <c r="R17" s="84">
        <v>1.342</v>
      </c>
      <c r="S17" s="35">
        <v>1.009</v>
      </c>
      <c r="T17" s="85">
        <v>58</v>
      </c>
      <c r="U17" s="29">
        <v>53.1</v>
      </c>
      <c r="V17" s="43">
        <f>ROUND((N17*Q17*R17/1000-N17*U17/100*T17*247/1000)*S17,1)</f>
        <v>1147.7</v>
      </c>
      <c r="W17" s="43">
        <f t="shared" si="5"/>
        <v>0</v>
      </c>
      <c r="X17" s="43">
        <f t="shared" si="6"/>
        <v>0</v>
      </c>
      <c r="Y17" s="43">
        <f t="shared" si="0"/>
        <v>1370.3</v>
      </c>
      <c r="Z17" s="24">
        <f>Y17-'[1]2018-без налогов'!$AQ13</f>
        <v>0</v>
      </c>
    </row>
    <row r="18" spans="1:26" s="24" customFormat="1" ht="15.75">
      <c r="A18" s="30">
        <v>11</v>
      </c>
      <c r="B18" s="25" t="s">
        <v>11</v>
      </c>
      <c r="C18" s="71">
        <v>21</v>
      </c>
      <c r="D18" s="71">
        <v>1</v>
      </c>
      <c r="E18" s="72"/>
      <c r="F18" s="38">
        <v>8923</v>
      </c>
      <c r="G18" s="35">
        <v>1.402</v>
      </c>
      <c r="H18" s="35">
        <f t="shared" si="1"/>
        <v>1.163</v>
      </c>
      <c r="I18" s="23">
        <v>58</v>
      </c>
      <c r="J18" s="29">
        <v>53.1</v>
      </c>
      <c r="K18" s="29">
        <f t="shared" si="2"/>
        <v>119.7</v>
      </c>
      <c r="L18" s="29">
        <f t="shared" si="3"/>
        <v>14.5</v>
      </c>
      <c r="M18" s="29">
        <f t="shared" si="4"/>
        <v>0</v>
      </c>
      <c r="N18" s="73">
        <v>65</v>
      </c>
      <c r="O18" s="73">
        <v>1</v>
      </c>
      <c r="P18" s="73">
        <v>1</v>
      </c>
      <c r="Q18" s="38">
        <v>10153</v>
      </c>
      <c r="R18" s="84">
        <v>1.342</v>
      </c>
      <c r="S18" s="35">
        <v>1.163</v>
      </c>
      <c r="T18" s="85">
        <v>58</v>
      </c>
      <c r="U18" s="29">
        <v>53.1</v>
      </c>
      <c r="V18" s="43">
        <f>ROUND((N18*Q18*R18/1000-N18*U18/100*T18*247/1000)*S18,1)-0.1</f>
        <v>454.79999999999995</v>
      </c>
      <c r="W18" s="43">
        <f t="shared" si="5"/>
        <v>15.8</v>
      </c>
      <c r="X18" s="43">
        <f t="shared" si="6"/>
        <v>15.8</v>
      </c>
      <c r="Y18" s="43">
        <f t="shared" si="0"/>
        <v>620.5999999999999</v>
      </c>
      <c r="Z18" s="24">
        <f>Y18-'[1]2018-без налогов'!$AQ14</f>
        <v>0</v>
      </c>
    </row>
    <row r="19" spans="1:26" s="24" customFormat="1" ht="15.75">
      <c r="A19" s="31">
        <v>12</v>
      </c>
      <c r="B19" s="22" t="s">
        <v>25</v>
      </c>
      <c r="C19" s="65"/>
      <c r="D19" s="65"/>
      <c r="E19" s="66"/>
      <c r="F19" s="38">
        <v>8923</v>
      </c>
      <c r="G19" s="35">
        <v>1</v>
      </c>
      <c r="H19" s="35">
        <f t="shared" si="1"/>
        <v>1.412</v>
      </c>
      <c r="I19" s="23">
        <v>48</v>
      </c>
      <c r="J19" s="29">
        <v>53.1</v>
      </c>
      <c r="K19" s="29">
        <f t="shared" si="2"/>
        <v>0</v>
      </c>
      <c r="L19" s="29">
        <f t="shared" si="3"/>
        <v>0</v>
      </c>
      <c r="M19" s="29">
        <f t="shared" si="4"/>
        <v>0</v>
      </c>
      <c r="N19" s="67">
        <v>24</v>
      </c>
      <c r="O19" s="67">
        <v>1</v>
      </c>
      <c r="P19" s="67">
        <v>1</v>
      </c>
      <c r="Q19" s="38">
        <v>10153</v>
      </c>
      <c r="R19" s="84">
        <v>1</v>
      </c>
      <c r="S19" s="35">
        <v>1.412</v>
      </c>
      <c r="T19" s="85">
        <v>48</v>
      </c>
      <c r="U19" s="29">
        <v>53.1</v>
      </c>
      <c r="V19" s="43">
        <f aca="true" t="shared" si="7" ref="V19:V52">ROUND((N19*Q19*R19/1000-N19*U19/100*T19*247/1000)*S19,1)</f>
        <v>130.7</v>
      </c>
      <c r="W19" s="43">
        <f t="shared" si="5"/>
        <v>14.3</v>
      </c>
      <c r="X19" s="43">
        <f t="shared" si="6"/>
        <v>14.3</v>
      </c>
      <c r="Y19" s="43">
        <f t="shared" si="0"/>
        <v>159.3</v>
      </c>
      <c r="Z19" s="24">
        <f>Y19-'[1]2018-без налогов'!$AQ15</f>
        <v>0</v>
      </c>
    </row>
    <row r="20" spans="1:26" s="24" customFormat="1" ht="15.75">
      <c r="A20" s="30">
        <v>13</v>
      </c>
      <c r="B20" s="22" t="s">
        <v>24</v>
      </c>
      <c r="C20" s="69"/>
      <c r="D20" s="69"/>
      <c r="E20" s="70"/>
      <c r="F20" s="38">
        <v>8923</v>
      </c>
      <c r="G20" s="35">
        <v>1</v>
      </c>
      <c r="H20" s="35">
        <f t="shared" si="1"/>
        <v>1.461</v>
      </c>
      <c r="I20" s="23">
        <v>48</v>
      </c>
      <c r="J20" s="29">
        <v>53.1</v>
      </c>
      <c r="K20" s="29">
        <f t="shared" si="2"/>
        <v>0</v>
      </c>
      <c r="L20" s="29">
        <f t="shared" si="3"/>
        <v>0</v>
      </c>
      <c r="M20" s="29">
        <f t="shared" si="4"/>
        <v>0</v>
      </c>
      <c r="N20" s="67">
        <v>23</v>
      </c>
      <c r="O20" s="67"/>
      <c r="P20" s="67">
        <v>2</v>
      </c>
      <c r="Q20" s="38">
        <v>10153</v>
      </c>
      <c r="R20" s="84">
        <v>1</v>
      </c>
      <c r="S20" s="35">
        <v>1.461</v>
      </c>
      <c r="T20" s="85">
        <v>48</v>
      </c>
      <c r="U20" s="29">
        <v>53.1</v>
      </c>
      <c r="V20" s="43">
        <f t="shared" si="7"/>
        <v>129.6</v>
      </c>
      <c r="W20" s="43">
        <f t="shared" si="5"/>
        <v>0</v>
      </c>
      <c r="X20" s="43">
        <f t="shared" si="6"/>
        <v>29.7</v>
      </c>
      <c r="Y20" s="43">
        <f t="shared" si="0"/>
        <v>159.29999999999998</v>
      </c>
      <c r="Z20" s="24">
        <f>Y20-'[1]2018-без налогов'!$AQ16</f>
        <v>0</v>
      </c>
    </row>
    <row r="21" spans="1:26" s="24" customFormat="1" ht="15.75">
      <c r="A21" s="31">
        <v>14</v>
      </c>
      <c r="B21" s="22" t="s">
        <v>12</v>
      </c>
      <c r="C21" s="65"/>
      <c r="D21" s="65"/>
      <c r="E21" s="66"/>
      <c r="F21" s="38">
        <v>8923</v>
      </c>
      <c r="G21" s="35">
        <v>1</v>
      </c>
      <c r="H21" s="35">
        <f t="shared" si="1"/>
        <v>0.951</v>
      </c>
      <c r="I21" s="23">
        <v>48</v>
      </c>
      <c r="J21" s="29">
        <v>53.1</v>
      </c>
      <c r="K21" s="29">
        <f t="shared" si="2"/>
        <v>0</v>
      </c>
      <c r="L21" s="29">
        <f t="shared" si="3"/>
        <v>0</v>
      </c>
      <c r="M21" s="29">
        <f t="shared" si="4"/>
        <v>0</v>
      </c>
      <c r="N21" s="67">
        <v>82</v>
      </c>
      <c r="O21" s="67">
        <v>4</v>
      </c>
      <c r="P21" s="67"/>
      <c r="Q21" s="38">
        <v>10153</v>
      </c>
      <c r="R21" s="84">
        <v>1</v>
      </c>
      <c r="S21" s="35">
        <v>0.951</v>
      </c>
      <c r="T21" s="85">
        <v>48</v>
      </c>
      <c r="U21" s="29">
        <v>53.1</v>
      </c>
      <c r="V21" s="43">
        <f>ROUND((N21*Q21*R21/1000-N21*U21/100*T21*247/1000)*S21,1)-0.05</f>
        <v>300.75</v>
      </c>
      <c r="W21" s="43">
        <f t="shared" si="5"/>
        <v>38.6</v>
      </c>
      <c r="X21" s="43">
        <f t="shared" si="6"/>
        <v>0</v>
      </c>
      <c r="Y21" s="43">
        <f t="shared" si="0"/>
        <v>339.35</v>
      </c>
      <c r="Z21" s="24">
        <f>Y21-'[1]2018-без налогов'!$AQ17</f>
        <v>0</v>
      </c>
    </row>
    <row r="22" spans="1:26" s="24" customFormat="1" ht="15.75">
      <c r="A22" s="30">
        <v>15</v>
      </c>
      <c r="B22" s="22" t="s">
        <v>13</v>
      </c>
      <c r="C22" s="65"/>
      <c r="D22" s="65"/>
      <c r="E22" s="66"/>
      <c r="F22" s="38">
        <v>8923</v>
      </c>
      <c r="G22" s="35">
        <v>1</v>
      </c>
      <c r="H22" s="35">
        <f t="shared" si="1"/>
        <v>1.118</v>
      </c>
      <c r="I22" s="23">
        <v>48</v>
      </c>
      <c r="J22" s="29">
        <v>53.1</v>
      </c>
      <c r="K22" s="29">
        <f t="shared" si="2"/>
        <v>0</v>
      </c>
      <c r="L22" s="29">
        <f t="shared" si="3"/>
        <v>0</v>
      </c>
      <c r="M22" s="29">
        <f t="shared" si="4"/>
        <v>0</v>
      </c>
      <c r="N22" s="67">
        <v>45</v>
      </c>
      <c r="O22" s="67"/>
      <c r="P22" s="67"/>
      <c r="Q22" s="38">
        <v>10153</v>
      </c>
      <c r="R22" s="84">
        <v>1</v>
      </c>
      <c r="S22" s="35">
        <v>1.118</v>
      </c>
      <c r="T22" s="85">
        <v>48</v>
      </c>
      <c r="U22" s="29">
        <v>53.1</v>
      </c>
      <c r="V22" s="43">
        <f t="shared" si="7"/>
        <v>194.1</v>
      </c>
      <c r="W22" s="43">
        <f t="shared" si="5"/>
        <v>0</v>
      </c>
      <c r="X22" s="43">
        <f t="shared" si="6"/>
        <v>0</v>
      </c>
      <c r="Y22" s="43">
        <f t="shared" si="0"/>
        <v>194.1</v>
      </c>
      <c r="Z22" s="24">
        <f>Y22-'[1]2018-без налогов'!$AQ18</f>
        <v>0</v>
      </c>
    </row>
    <row r="23" spans="1:26" s="24" customFormat="1" ht="15.75">
      <c r="A23" s="31">
        <v>16</v>
      </c>
      <c r="B23" s="22" t="s">
        <v>14</v>
      </c>
      <c r="C23" s="65"/>
      <c r="D23" s="65"/>
      <c r="E23" s="66"/>
      <c r="F23" s="38">
        <v>8923</v>
      </c>
      <c r="G23" s="35">
        <v>1</v>
      </c>
      <c r="H23" s="35">
        <f t="shared" si="1"/>
        <v>0.997</v>
      </c>
      <c r="I23" s="23">
        <v>48</v>
      </c>
      <c r="J23" s="29">
        <v>53.1</v>
      </c>
      <c r="K23" s="29">
        <f t="shared" si="2"/>
        <v>0</v>
      </c>
      <c r="L23" s="29">
        <f t="shared" si="3"/>
        <v>0</v>
      </c>
      <c r="M23" s="29">
        <f t="shared" si="4"/>
        <v>0</v>
      </c>
      <c r="N23" s="67">
        <v>50</v>
      </c>
      <c r="O23" s="67"/>
      <c r="P23" s="67"/>
      <c r="Q23" s="38">
        <v>10153</v>
      </c>
      <c r="R23" s="84">
        <v>1</v>
      </c>
      <c r="S23" s="35">
        <v>0.997</v>
      </c>
      <c r="T23" s="85">
        <v>48</v>
      </c>
      <c r="U23" s="29">
        <v>53.1</v>
      </c>
      <c r="V23" s="43">
        <f t="shared" si="7"/>
        <v>192.3</v>
      </c>
      <c r="W23" s="43">
        <f t="shared" si="5"/>
        <v>0</v>
      </c>
      <c r="X23" s="43">
        <f t="shared" si="6"/>
        <v>0</v>
      </c>
      <c r="Y23" s="43">
        <f t="shared" si="0"/>
        <v>192.3</v>
      </c>
      <c r="Z23" s="24">
        <f>Y23-'[1]2018-без налогов'!$AQ19</f>
        <v>0</v>
      </c>
    </row>
    <row r="24" spans="1:26" s="26" customFormat="1" ht="16.5" customHeight="1">
      <c r="A24" s="32">
        <v>17</v>
      </c>
      <c r="B24" s="25" t="s">
        <v>15</v>
      </c>
      <c r="C24" s="74"/>
      <c r="D24" s="74"/>
      <c r="E24" s="75"/>
      <c r="F24" s="38">
        <v>8923</v>
      </c>
      <c r="G24" s="35">
        <v>1</v>
      </c>
      <c r="H24" s="35">
        <f t="shared" si="1"/>
        <v>0.907</v>
      </c>
      <c r="I24" s="23">
        <v>48</v>
      </c>
      <c r="J24" s="29">
        <v>53.1</v>
      </c>
      <c r="K24" s="29">
        <f t="shared" si="2"/>
        <v>0</v>
      </c>
      <c r="L24" s="29">
        <f t="shared" si="3"/>
        <v>0</v>
      </c>
      <c r="M24" s="29">
        <f t="shared" si="4"/>
        <v>0</v>
      </c>
      <c r="N24" s="67">
        <v>63</v>
      </c>
      <c r="O24" s="67"/>
      <c r="P24" s="67">
        <v>1</v>
      </c>
      <c r="Q24" s="38">
        <v>10153</v>
      </c>
      <c r="R24" s="84">
        <v>1</v>
      </c>
      <c r="S24" s="35">
        <v>0.907</v>
      </c>
      <c r="T24" s="85">
        <v>48</v>
      </c>
      <c r="U24" s="29">
        <v>53.1</v>
      </c>
      <c r="V24" s="43">
        <f t="shared" si="7"/>
        <v>220.4</v>
      </c>
      <c r="W24" s="43">
        <f t="shared" si="5"/>
        <v>0</v>
      </c>
      <c r="X24" s="43">
        <f t="shared" si="6"/>
        <v>9.2</v>
      </c>
      <c r="Y24" s="43">
        <f t="shared" si="0"/>
        <v>229.6</v>
      </c>
      <c r="Z24" s="24">
        <f>Y24-'[1]2018-без налогов'!$AQ20</f>
        <v>0</v>
      </c>
    </row>
    <row r="25" spans="1:26" s="24" customFormat="1" ht="19.5" customHeight="1">
      <c r="A25" s="31">
        <v>18</v>
      </c>
      <c r="B25" s="22" t="s">
        <v>26</v>
      </c>
      <c r="C25" s="76"/>
      <c r="D25" s="76"/>
      <c r="E25" s="77"/>
      <c r="F25" s="38">
        <v>8923</v>
      </c>
      <c r="G25" s="35">
        <v>1</v>
      </c>
      <c r="H25" s="35">
        <f t="shared" si="1"/>
        <v>0.935</v>
      </c>
      <c r="I25" s="23">
        <v>48</v>
      </c>
      <c r="J25" s="29">
        <v>53.1</v>
      </c>
      <c r="K25" s="29">
        <f t="shared" si="2"/>
        <v>0</v>
      </c>
      <c r="L25" s="29">
        <f t="shared" si="3"/>
        <v>0</v>
      </c>
      <c r="M25" s="29">
        <f t="shared" si="4"/>
        <v>0</v>
      </c>
      <c r="N25" s="67">
        <v>18</v>
      </c>
      <c r="O25" s="67"/>
      <c r="P25" s="67"/>
      <c r="Q25" s="38">
        <v>10153</v>
      </c>
      <c r="R25" s="84">
        <v>1</v>
      </c>
      <c r="S25" s="35">
        <v>0.935</v>
      </c>
      <c r="T25" s="85">
        <v>48</v>
      </c>
      <c r="U25" s="29">
        <v>53.1</v>
      </c>
      <c r="V25" s="43">
        <f t="shared" si="7"/>
        <v>64.9</v>
      </c>
      <c r="W25" s="43">
        <f t="shared" si="5"/>
        <v>0</v>
      </c>
      <c r="X25" s="43">
        <f t="shared" si="6"/>
        <v>0</v>
      </c>
      <c r="Y25" s="43">
        <f t="shared" si="0"/>
        <v>64.9</v>
      </c>
      <c r="Z25" s="24">
        <f>Y25-'[1]2018-без налогов'!$AQ21</f>
        <v>0</v>
      </c>
    </row>
    <row r="26" spans="1:26" s="24" customFormat="1" ht="19.5" customHeight="1">
      <c r="A26" s="30">
        <v>19</v>
      </c>
      <c r="B26" s="22" t="s">
        <v>27</v>
      </c>
      <c r="C26" s="76"/>
      <c r="D26" s="76"/>
      <c r="E26" s="77"/>
      <c r="F26" s="38">
        <v>8923</v>
      </c>
      <c r="G26" s="35">
        <v>1</v>
      </c>
      <c r="H26" s="35">
        <f t="shared" si="1"/>
        <v>1.557</v>
      </c>
      <c r="I26" s="23">
        <v>48</v>
      </c>
      <c r="J26" s="29">
        <v>53.1</v>
      </c>
      <c r="K26" s="29">
        <f t="shared" si="2"/>
        <v>0</v>
      </c>
      <c r="L26" s="29">
        <f t="shared" si="3"/>
        <v>0</v>
      </c>
      <c r="M26" s="29">
        <f t="shared" si="4"/>
        <v>0</v>
      </c>
      <c r="N26" s="67">
        <v>8</v>
      </c>
      <c r="O26" s="67"/>
      <c r="P26" s="67"/>
      <c r="Q26" s="38">
        <v>10153</v>
      </c>
      <c r="R26" s="84">
        <v>1</v>
      </c>
      <c r="S26" s="35">
        <v>1.557</v>
      </c>
      <c r="T26" s="85">
        <v>48</v>
      </c>
      <c r="U26" s="29">
        <v>53.1</v>
      </c>
      <c r="V26" s="43">
        <f t="shared" si="7"/>
        <v>48</v>
      </c>
      <c r="W26" s="43">
        <f t="shared" si="5"/>
        <v>0</v>
      </c>
      <c r="X26" s="43">
        <f t="shared" si="6"/>
        <v>0</v>
      </c>
      <c r="Y26" s="43">
        <f t="shared" si="0"/>
        <v>48</v>
      </c>
      <c r="Z26" s="24">
        <f>Y26-'[1]2018-без налогов'!$AQ22</f>
        <v>0</v>
      </c>
    </row>
    <row r="27" spans="1:26" s="24" customFormat="1" ht="18" customHeight="1">
      <c r="A27" s="31">
        <v>20</v>
      </c>
      <c r="B27" s="22" t="s">
        <v>28</v>
      </c>
      <c r="C27" s="76"/>
      <c r="D27" s="76"/>
      <c r="E27" s="77"/>
      <c r="F27" s="38">
        <v>8923</v>
      </c>
      <c r="G27" s="35">
        <v>1</v>
      </c>
      <c r="H27" s="35">
        <f t="shared" si="1"/>
        <v>1.402</v>
      </c>
      <c r="I27" s="23">
        <v>48</v>
      </c>
      <c r="J27" s="29">
        <v>53.1</v>
      </c>
      <c r="K27" s="29">
        <f t="shared" si="2"/>
        <v>0</v>
      </c>
      <c r="L27" s="29">
        <f t="shared" si="3"/>
        <v>0</v>
      </c>
      <c r="M27" s="29">
        <f t="shared" si="4"/>
        <v>0</v>
      </c>
      <c r="N27" s="67">
        <v>12</v>
      </c>
      <c r="O27" s="67"/>
      <c r="P27" s="67"/>
      <c r="Q27" s="38">
        <v>10153</v>
      </c>
      <c r="R27" s="84">
        <v>1</v>
      </c>
      <c r="S27" s="35">
        <v>1.402</v>
      </c>
      <c r="T27" s="85">
        <v>48</v>
      </c>
      <c r="U27" s="29">
        <v>53.1</v>
      </c>
      <c r="V27" s="43">
        <f t="shared" si="7"/>
        <v>64.9</v>
      </c>
      <c r="W27" s="43">
        <f t="shared" si="5"/>
        <v>0</v>
      </c>
      <c r="X27" s="43">
        <f t="shared" si="6"/>
        <v>0</v>
      </c>
      <c r="Y27" s="43">
        <f t="shared" si="0"/>
        <v>64.9</v>
      </c>
      <c r="Z27" s="24">
        <f>Y27-'[1]2018-без налогов'!$AQ23</f>
        <v>0</v>
      </c>
    </row>
    <row r="28" spans="1:26" s="24" customFormat="1" ht="18.75" customHeight="1">
      <c r="A28" s="30">
        <v>21</v>
      </c>
      <c r="B28" s="22" t="s">
        <v>29</v>
      </c>
      <c r="C28" s="76"/>
      <c r="D28" s="76"/>
      <c r="E28" s="77"/>
      <c r="F28" s="38">
        <v>8923</v>
      </c>
      <c r="G28" s="35">
        <v>1</v>
      </c>
      <c r="H28" s="35">
        <f t="shared" si="1"/>
        <v>1.354</v>
      </c>
      <c r="I28" s="23">
        <v>48</v>
      </c>
      <c r="J28" s="29">
        <v>53.1</v>
      </c>
      <c r="K28" s="29">
        <f t="shared" si="2"/>
        <v>0</v>
      </c>
      <c r="L28" s="29">
        <f t="shared" si="3"/>
        <v>0</v>
      </c>
      <c r="M28" s="29">
        <f t="shared" si="4"/>
        <v>0</v>
      </c>
      <c r="N28" s="67">
        <v>26</v>
      </c>
      <c r="O28" s="67"/>
      <c r="P28" s="67">
        <v>1</v>
      </c>
      <c r="Q28" s="38">
        <v>10153</v>
      </c>
      <c r="R28" s="84">
        <v>1</v>
      </c>
      <c r="S28" s="35">
        <v>1.354</v>
      </c>
      <c r="T28" s="85">
        <v>48</v>
      </c>
      <c r="U28" s="29">
        <v>53.1</v>
      </c>
      <c r="V28" s="43">
        <f t="shared" si="7"/>
        <v>135.8</v>
      </c>
      <c r="W28" s="43">
        <f t="shared" si="5"/>
        <v>0</v>
      </c>
      <c r="X28" s="43">
        <f t="shared" si="6"/>
        <v>13.7</v>
      </c>
      <c r="Y28" s="43">
        <f t="shared" si="0"/>
        <v>149.5</v>
      </c>
      <c r="Z28" s="24">
        <f>Y28-'[1]2018-без налогов'!$AQ24</f>
        <v>0</v>
      </c>
    </row>
    <row r="29" spans="1:26" s="24" customFormat="1" ht="15.75">
      <c r="A29" s="31">
        <v>22</v>
      </c>
      <c r="B29" s="22" t="s">
        <v>16</v>
      </c>
      <c r="C29" s="62"/>
      <c r="D29" s="62"/>
      <c r="E29" s="63"/>
      <c r="F29" s="38">
        <v>8923</v>
      </c>
      <c r="G29" s="35">
        <v>1</v>
      </c>
      <c r="H29" s="35">
        <f t="shared" si="1"/>
        <v>1.146</v>
      </c>
      <c r="I29" s="23">
        <v>48</v>
      </c>
      <c r="J29" s="29">
        <v>53.1</v>
      </c>
      <c r="K29" s="29">
        <f t="shared" si="2"/>
        <v>0</v>
      </c>
      <c r="L29" s="29">
        <f t="shared" si="3"/>
        <v>0</v>
      </c>
      <c r="M29" s="29">
        <f t="shared" si="4"/>
        <v>0</v>
      </c>
      <c r="N29" s="64">
        <v>92</v>
      </c>
      <c r="O29" s="64">
        <v>3</v>
      </c>
      <c r="P29" s="64"/>
      <c r="Q29" s="38">
        <v>10153</v>
      </c>
      <c r="R29" s="84">
        <v>1</v>
      </c>
      <c r="S29" s="35">
        <v>1.146</v>
      </c>
      <c r="T29" s="85">
        <v>48</v>
      </c>
      <c r="U29" s="29">
        <v>53.1</v>
      </c>
      <c r="V29" s="43">
        <f>ROUND((N29*Q29*R29/1000-N29*U29/100*T29*247/1000)*S29,1)+0.2</f>
        <v>406.9</v>
      </c>
      <c r="W29" s="43">
        <f t="shared" si="5"/>
        <v>34.9</v>
      </c>
      <c r="X29" s="43">
        <f t="shared" si="6"/>
        <v>0</v>
      </c>
      <c r="Y29" s="43">
        <f t="shared" si="0"/>
        <v>441.79999999999995</v>
      </c>
      <c r="Z29" s="24">
        <f>Y29-'[1]2018-без налогов'!$AQ25</f>
        <v>0</v>
      </c>
    </row>
    <row r="30" spans="1:26" s="24" customFormat="1" ht="15.75">
      <c r="A30" s="30">
        <v>23</v>
      </c>
      <c r="B30" s="22" t="s">
        <v>17</v>
      </c>
      <c r="C30" s="65"/>
      <c r="D30" s="65"/>
      <c r="E30" s="66"/>
      <c r="F30" s="38">
        <v>8923</v>
      </c>
      <c r="G30" s="35">
        <v>1</v>
      </c>
      <c r="H30" s="35">
        <f t="shared" si="1"/>
        <v>1.004</v>
      </c>
      <c r="I30" s="23">
        <v>48</v>
      </c>
      <c r="J30" s="29">
        <v>53.1</v>
      </c>
      <c r="K30" s="29">
        <f t="shared" si="2"/>
        <v>0</v>
      </c>
      <c r="L30" s="29">
        <f t="shared" si="3"/>
        <v>0</v>
      </c>
      <c r="M30" s="29">
        <f t="shared" si="4"/>
        <v>0</v>
      </c>
      <c r="N30" s="67">
        <v>90</v>
      </c>
      <c r="O30" s="67">
        <v>1</v>
      </c>
      <c r="P30" s="67"/>
      <c r="Q30" s="38">
        <v>10153</v>
      </c>
      <c r="R30" s="84">
        <v>1</v>
      </c>
      <c r="S30" s="35">
        <v>1.004</v>
      </c>
      <c r="T30" s="85">
        <v>48</v>
      </c>
      <c r="U30" s="29">
        <v>53.1</v>
      </c>
      <c r="V30" s="43">
        <f>ROUND((N30*Q30*R30/1000-N30*U30/100*T30*247/1000)*S30,1)-0.1</f>
        <v>348.5</v>
      </c>
      <c r="W30" s="43">
        <f t="shared" si="5"/>
        <v>10.2</v>
      </c>
      <c r="X30" s="43">
        <f t="shared" si="6"/>
        <v>0</v>
      </c>
      <c r="Y30" s="43">
        <f t="shared" si="0"/>
        <v>358.7</v>
      </c>
      <c r="Z30" s="24">
        <f>Y30-'[1]2018-без налогов'!$AQ26</f>
        <v>0</v>
      </c>
    </row>
    <row r="31" spans="1:26" s="26" customFormat="1" ht="18" customHeight="1">
      <c r="A31" s="31">
        <v>24</v>
      </c>
      <c r="B31" s="25" t="s">
        <v>18</v>
      </c>
      <c r="C31" s="76">
        <v>21</v>
      </c>
      <c r="D31" s="65"/>
      <c r="E31" s="66"/>
      <c r="F31" s="38">
        <v>8923</v>
      </c>
      <c r="G31" s="35">
        <v>1</v>
      </c>
      <c r="H31" s="35">
        <f t="shared" si="1"/>
        <v>1.18</v>
      </c>
      <c r="I31" s="23">
        <v>48</v>
      </c>
      <c r="J31" s="29">
        <v>53.1</v>
      </c>
      <c r="K31" s="29">
        <f t="shared" si="2"/>
        <v>65.1</v>
      </c>
      <c r="L31" s="29">
        <f t="shared" si="3"/>
        <v>0</v>
      </c>
      <c r="M31" s="29">
        <f t="shared" si="4"/>
        <v>0</v>
      </c>
      <c r="N31" s="67">
        <v>93</v>
      </c>
      <c r="O31" s="67">
        <v>2</v>
      </c>
      <c r="P31" s="67">
        <v>1</v>
      </c>
      <c r="Q31" s="38">
        <v>10153</v>
      </c>
      <c r="R31" s="84">
        <v>1</v>
      </c>
      <c r="S31" s="35">
        <v>1.18</v>
      </c>
      <c r="T31" s="85">
        <v>48</v>
      </c>
      <c r="U31" s="29">
        <v>53.1</v>
      </c>
      <c r="V31" s="43">
        <f>ROUND((N31*Q31*R31/1000-N31*U31/100*T31*247/1000)*S31,1)+0.3</f>
        <v>423.6</v>
      </c>
      <c r="W31" s="43">
        <f t="shared" si="5"/>
        <v>24</v>
      </c>
      <c r="X31" s="43">
        <f t="shared" si="6"/>
        <v>12</v>
      </c>
      <c r="Y31" s="43">
        <f t="shared" si="0"/>
        <v>524.7</v>
      </c>
      <c r="Z31" s="24">
        <f>Y31-'[1]2018-без налогов'!$AQ27</f>
        <v>0</v>
      </c>
    </row>
    <row r="32" spans="1:26" s="24" customFormat="1" ht="15.75">
      <c r="A32" s="30">
        <v>25</v>
      </c>
      <c r="B32" s="22" t="s">
        <v>19</v>
      </c>
      <c r="C32" s="65">
        <v>18</v>
      </c>
      <c r="D32" s="65"/>
      <c r="E32" s="66"/>
      <c r="F32" s="38">
        <v>8923</v>
      </c>
      <c r="G32" s="35">
        <v>1</v>
      </c>
      <c r="H32" s="35">
        <f t="shared" si="1"/>
        <v>0.836</v>
      </c>
      <c r="I32" s="23">
        <v>48</v>
      </c>
      <c r="J32" s="29">
        <v>53.1</v>
      </c>
      <c r="K32" s="29">
        <f t="shared" si="2"/>
        <v>39.5</v>
      </c>
      <c r="L32" s="29">
        <f t="shared" si="3"/>
        <v>0</v>
      </c>
      <c r="M32" s="29">
        <f t="shared" si="4"/>
        <v>0</v>
      </c>
      <c r="N32" s="67">
        <v>118</v>
      </c>
      <c r="O32" s="67">
        <v>1</v>
      </c>
      <c r="P32" s="67"/>
      <c r="Q32" s="38">
        <v>10153</v>
      </c>
      <c r="R32" s="84">
        <v>1</v>
      </c>
      <c r="S32" s="35">
        <v>0.836</v>
      </c>
      <c r="T32" s="85">
        <v>48</v>
      </c>
      <c r="U32" s="29">
        <v>53.1</v>
      </c>
      <c r="V32" s="43">
        <f>ROUND((N32*Q32*R32/1000-N32*U32/100*T32*247/1000)*S32,1)+0.3</f>
        <v>380.8</v>
      </c>
      <c r="W32" s="43">
        <f t="shared" si="5"/>
        <v>8.5</v>
      </c>
      <c r="X32" s="43">
        <f t="shared" si="6"/>
        <v>0</v>
      </c>
      <c r="Y32" s="43">
        <f t="shared" si="0"/>
        <v>428.8</v>
      </c>
      <c r="Z32" s="24">
        <f>Y32-'[1]2018-без налогов'!$AQ28</f>
        <v>0</v>
      </c>
    </row>
    <row r="33" spans="1:26" s="24" customFormat="1" ht="15.75">
      <c r="A33" s="31">
        <v>26</v>
      </c>
      <c r="B33" s="22" t="s">
        <v>20</v>
      </c>
      <c r="C33" s="78">
        <v>24</v>
      </c>
      <c r="D33" s="78"/>
      <c r="E33" s="79"/>
      <c r="F33" s="38">
        <v>8923</v>
      </c>
      <c r="G33" s="35">
        <v>1</v>
      </c>
      <c r="H33" s="35">
        <f t="shared" si="1"/>
        <v>1.091</v>
      </c>
      <c r="I33" s="23">
        <v>48</v>
      </c>
      <c r="J33" s="29">
        <v>53.1</v>
      </c>
      <c r="K33" s="29">
        <f t="shared" si="2"/>
        <v>68.8</v>
      </c>
      <c r="L33" s="29">
        <f t="shared" si="3"/>
        <v>0</v>
      </c>
      <c r="M33" s="29">
        <f t="shared" si="4"/>
        <v>0</v>
      </c>
      <c r="N33" s="80">
        <v>109</v>
      </c>
      <c r="O33" s="80">
        <v>3</v>
      </c>
      <c r="P33" s="80"/>
      <c r="Q33" s="38">
        <v>10153</v>
      </c>
      <c r="R33" s="84">
        <v>1</v>
      </c>
      <c r="S33" s="35">
        <v>1.091</v>
      </c>
      <c r="T33" s="85">
        <v>48</v>
      </c>
      <c r="U33" s="29">
        <v>53.1</v>
      </c>
      <c r="V33" s="43">
        <f>ROUND((N33*Q33*R33/1000-N33*U33/100*T33*247/1000)*S33,1)+0.2</f>
        <v>458.9</v>
      </c>
      <c r="W33" s="43">
        <f t="shared" si="5"/>
        <v>33.2</v>
      </c>
      <c r="X33" s="43">
        <f t="shared" si="6"/>
        <v>0</v>
      </c>
      <c r="Y33" s="43">
        <f t="shared" si="0"/>
        <v>560.9</v>
      </c>
      <c r="Z33" s="24">
        <f>Y33-'[1]2018-без налогов'!$AQ29</f>
        <v>0</v>
      </c>
    </row>
    <row r="34" spans="1:26" s="24" customFormat="1" ht="15.75">
      <c r="A34" s="30">
        <v>27</v>
      </c>
      <c r="B34" s="22" t="s">
        <v>30</v>
      </c>
      <c r="C34" s="65"/>
      <c r="D34" s="65"/>
      <c r="E34" s="66"/>
      <c r="F34" s="38">
        <v>8923</v>
      </c>
      <c r="G34" s="35">
        <v>1</v>
      </c>
      <c r="H34" s="35">
        <f t="shared" si="1"/>
        <v>1.025</v>
      </c>
      <c r="I34" s="23">
        <v>48</v>
      </c>
      <c r="J34" s="29">
        <v>53.1</v>
      </c>
      <c r="K34" s="29">
        <f t="shared" si="2"/>
        <v>0</v>
      </c>
      <c r="L34" s="29">
        <f t="shared" si="3"/>
        <v>0</v>
      </c>
      <c r="M34" s="29">
        <f t="shared" si="4"/>
        <v>0</v>
      </c>
      <c r="N34" s="67">
        <v>20</v>
      </c>
      <c r="O34" s="67"/>
      <c r="P34" s="67"/>
      <c r="Q34" s="38">
        <v>10153</v>
      </c>
      <c r="R34" s="84">
        <v>1</v>
      </c>
      <c r="S34" s="35">
        <v>1.025</v>
      </c>
      <c r="T34" s="85">
        <v>48</v>
      </c>
      <c r="U34" s="29">
        <v>53.1</v>
      </c>
      <c r="V34" s="43">
        <f t="shared" si="7"/>
        <v>79.1</v>
      </c>
      <c r="W34" s="43">
        <f t="shared" si="5"/>
        <v>0</v>
      </c>
      <c r="X34" s="43">
        <f t="shared" si="6"/>
        <v>0</v>
      </c>
      <c r="Y34" s="43">
        <f t="shared" si="0"/>
        <v>79.1</v>
      </c>
      <c r="Z34" s="24">
        <f>Y34-'[1]2018-без налогов'!$AQ30</f>
        <v>0</v>
      </c>
    </row>
    <row r="35" spans="1:26" s="24" customFormat="1" ht="15.75">
      <c r="A35" s="31">
        <v>28</v>
      </c>
      <c r="B35" s="22" t="s">
        <v>31</v>
      </c>
      <c r="C35" s="65"/>
      <c r="D35" s="65"/>
      <c r="E35" s="66"/>
      <c r="F35" s="38">
        <v>8923</v>
      </c>
      <c r="G35" s="35">
        <v>1</v>
      </c>
      <c r="H35" s="35">
        <f t="shared" si="1"/>
        <v>1.505</v>
      </c>
      <c r="I35" s="23">
        <v>48</v>
      </c>
      <c r="J35" s="29">
        <v>53.1</v>
      </c>
      <c r="K35" s="29">
        <f t="shared" si="2"/>
        <v>0</v>
      </c>
      <c r="L35" s="29">
        <f t="shared" si="3"/>
        <v>0</v>
      </c>
      <c r="M35" s="29">
        <f t="shared" si="4"/>
        <v>0</v>
      </c>
      <c r="N35" s="67">
        <v>18</v>
      </c>
      <c r="O35" s="67"/>
      <c r="P35" s="67"/>
      <c r="Q35" s="38">
        <v>10153</v>
      </c>
      <c r="R35" s="84">
        <v>1</v>
      </c>
      <c r="S35" s="35">
        <v>1.505</v>
      </c>
      <c r="T35" s="85">
        <v>48</v>
      </c>
      <c r="U35" s="29">
        <v>53.1</v>
      </c>
      <c r="V35" s="43">
        <f t="shared" si="7"/>
        <v>104.5</v>
      </c>
      <c r="W35" s="43">
        <f t="shared" si="5"/>
        <v>0</v>
      </c>
      <c r="X35" s="43">
        <f t="shared" si="6"/>
        <v>0</v>
      </c>
      <c r="Y35" s="43">
        <f t="shared" si="0"/>
        <v>104.5</v>
      </c>
      <c r="Z35" s="24">
        <f>Y35-'[1]2018-без налогов'!$AQ31</f>
        <v>0</v>
      </c>
    </row>
    <row r="36" spans="1:26" s="24" customFormat="1" ht="15.75">
      <c r="A36" s="30">
        <v>29</v>
      </c>
      <c r="B36" s="22" t="s">
        <v>21</v>
      </c>
      <c r="C36" s="65"/>
      <c r="D36" s="65"/>
      <c r="E36" s="66"/>
      <c r="F36" s="38">
        <v>8923</v>
      </c>
      <c r="G36" s="35">
        <v>1</v>
      </c>
      <c r="H36" s="35">
        <f t="shared" si="1"/>
        <v>0.828</v>
      </c>
      <c r="I36" s="23">
        <v>48</v>
      </c>
      <c r="J36" s="29">
        <v>53.1</v>
      </c>
      <c r="K36" s="29">
        <f t="shared" si="2"/>
        <v>0</v>
      </c>
      <c r="L36" s="29">
        <f t="shared" si="3"/>
        <v>0</v>
      </c>
      <c r="M36" s="29">
        <f t="shared" si="4"/>
        <v>0</v>
      </c>
      <c r="N36" s="67">
        <v>62</v>
      </c>
      <c r="O36" s="67"/>
      <c r="P36" s="67"/>
      <c r="Q36" s="38">
        <v>10153</v>
      </c>
      <c r="R36" s="84">
        <v>1</v>
      </c>
      <c r="S36" s="35">
        <v>0.828</v>
      </c>
      <c r="T36" s="85">
        <v>48</v>
      </c>
      <c r="U36" s="29">
        <v>53.1</v>
      </c>
      <c r="V36" s="43">
        <f t="shared" si="7"/>
        <v>198</v>
      </c>
      <c r="W36" s="43">
        <f t="shared" si="5"/>
        <v>0</v>
      </c>
      <c r="X36" s="43">
        <f t="shared" si="6"/>
        <v>0</v>
      </c>
      <c r="Y36" s="43">
        <f t="shared" si="0"/>
        <v>198</v>
      </c>
      <c r="Z36" s="24">
        <f>Y36-'[1]2018-без налогов'!$AQ32</f>
        <v>0</v>
      </c>
    </row>
    <row r="37" spans="1:26" s="24" customFormat="1" ht="15.75">
      <c r="A37" s="31">
        <v>30</v>
      </c>
      <c r="B37" s="22" t="s">
        <v>32</v>
      </c>
      <c r="C37" s="69"/>
      <c r="D37" s="69"/>
      <c r="E37" s="70"/>
      <c r="F37" s="38">
        <v>8923</v>
      </c>
      <c r="G37" s="35">
        <v>1</v>
      </c>
      <c r="H37" s="35">
        <f t="shared" si="1"/>
        <v>1.587</v>
      </c>
      <c r="I37" s="23">
        <v>48</v>
      </c>
      <c r="J37" s="29">
        <v>53.1</v>
      </c>
      <c r="K37" s="29">
        <f t="shared" si="2"/>
        <v>0</v>
      </c>
      <c r="L37" s="29">
        <f t="shared" si="3"/>
        <v>0</v>
      </c>
      <c r="M37" s="29">
        <f t="shared" si="4"/>
        <v>0</v>
      </c>
      <c r="N37" s="67">
        <v>12</v>
      </c>
      <c r="O37" s="67"/>
      <c r="P37" s="67"/>
      <c r="Q37" s="38">
        <v>10153</v>
      </c>
      <c r="R37" s="84">
        <v>1</v>
      </c>
      <c r="S37" s="35">
        <v>1.587</v>
      </c>
      <c r="T37" s="85">
        <v>48</v>
      </c>
      <c r="U37" s="29">
        <v>53.1</v>
      </c>
      <c r="V37" s="43">
        <f t="shared" si="7"/>
        <v>73.5</v>
      </c>
      <c r="W37" s="43">
        <f t="shared" si="5"/>
        <v>0</v>
      </c>
      <c r="X37" s="43">
        <f t="shared" si="6"/>
        <v>0</v>
      </c>
      <c r="Y37" s="43">
        <f t="shared" si="0"/>
        <v>73.5</v>
      </c>
      <c r="Z37" s="24">
        <f>Y37-'[1]2018-без налогов'!$AQ33</f>
        <v>0</v>
      </c>
    </row>
    <row r="38" spans="1:26" s="24" customFormat="1" ht="17.25" customHeight="1">
      <c r="A38" s="30">
        <v>31</v>
      </c>
      <c r="B38" s="22" t="s">
        <v>33</v>
      </c>
      <c r="C38" s="69"/>
      <c r="D38" s="69"/>
      <c r="E38" s="70"/>
      <c r="F38" s="38">
        <v>8923</v>
      </c>
      <c r="G38" s="35">
        <v>1</v>
      </c>
      <c r="H38" s="35">
        <f t="shared" si="1"/>
        <v>1.451</v>
      </c>
      <c r="I38" s="23">
        <v>48</v>
      </c>
      <c r="J38" s="29">
        <v>53.1</v>
      </c>
      <c r="K38" s="29">
        <f t="shared" si="2"/>
        <v>0</v>
      </c>
      <c r="L38" s="29">
        <f t="shared" si="3"/>
        <v>0</v>
      </c>
      <c r="M38" s="29">
        <f t="shared" si="4"/>
        <v>0</v>
      </c>
      <c r="N38" s="67">
        <v>28</v>
      </c>
      <c r="O38" s="67">
        <v>3</v>
      </c>
      <c r="P38" s="67"/>
      <c r="Q38" s="38">
        <v>10153</v>
      </c>
      <c r="R38" s="84">
        <v>1</v>
      </c>
      <c r="S38" s="35">
        <v>1.451</v>
      </c>
      <c r="T38" s="85">
        <v>48</v>
      </c>
      <c r="U38" s="29">
        <v>53.1</v>
      </c>
      <c r="V38" s="43">
        <f t="shared" si="7"/>
        <v>156.7</v>
      </c>
      <c r="W38" s="43">
        <f t="shared" si="5"/>
        <v>44.2</v>
      </c>
      <c r="X38" s="43">
        <f t="shared" si="6"/>
        <v>0</v>
      </c>
      <c r="Y38" s="43">
        <f t="shared" si="0"/>
        <v>200.89999999999998</v>
      </c>
      <c r="Z38" s="24">
        <f>Y38-'[1]2018-без налогов'!$AQ34</f>
        <v>0</v>
      </c>
    </row>
    <row r="39" spans="1:26" s="24" customFormat="1" ht="15.75">
      <c r="A39" s="31">
        <v>32</v>
      </c>
      <c r="B39" s="22" t="s">
        <v>34</v>
      </c>
      <c r="C39" s="65"/>
      <c r="D39" s="65"/>
      <c r="E39" s="66"/>
      <c r="F39" s="38">
        <v>8923</v>
      </c>
      <c r="G39" s="35">
        <v>1</v>
      </c>
      <c r="H39" s="35">
        <f t="shared" si="1"/>
        <v>1.689</v>
      </c>
      <c r="I39" s="23">
        <v>48</v>
      </c>
      <c r="J39" s="29">
        <v>53.1</v>
      </c>
      <c r="K39" s="29">
        <f t="shared" si="2"/>
        <v>0</v>
      </c>
      <c r="L39" s="29">
        <f t="shared" si="3"/>
        <v>0</v>
      </c>
      <c r="M39" s="29">
        <f t="shared" si="4"/>
        <v>0</v>
      </c>
      <c r="N39" s="67">
        <v>26</v>
      </c>
      <c r="O39" s="67"/>
      <c r="P39" s="67"/>
      <c r="Q39" s="38">
        <v>10153</v>
      </c>
      <c r="R39" s="84">
        <v>1</v>
      </c>
      <c r="S39" s="35">
        <v>1.689</v>
      </c>
      <c r="T39" s="85">
        <v>48</v>
      </c>
      <c r="U39" s="29">
        <v>53.1</v>
      </c>
      <c r="V39" s="43">
        <f t="shared" si="7"/>
        <v>169.4</v>
      </c>
      <c r="W39" s="43">
        <f t="shared" si="5"/>
        <v>0</v>
      </c>
      <c r="X39" s="43">
        <f t="shared" si="6"/>
        <v>0</v>
      </c>
      <c r="Y39" s="43">
        <f t="shared" si="0"/>
        <v>169.4</v>
      </c>
      <c r="Z39" s="24">
        <f>Y39-'[1]2018-без налогов'!$AQ35</f>
        <v>0</v>
      </c>
    </row>
    <row r="40" spans="1:26" s="24" customFormat="1" ht="15.75">
      <c r="A40" s="30">
        <v>33</v>
      </c>
      <c r="B40" s="22" t="s">
        <v>35</v>
      </c>
      <c r="C40" s="65"/>
      <c r="D40" s="65"/>
      <c r="E40" s="66"/>
      <c r="F40" s="38">
        <v>8923</v>
      </c>
      <c r="G40" s="35">
        <v>1</v>
      </c>
      <c r="H40" s="35">
        <f t="shared" si="1"/>
        <v>1.316</v>
      </c>
      <c r="I40" s="23">
        <v>48</v>
      </c>
      <c r="J40" s="29">
        <v>53.1</v>
      </c>
      <c r="K40" s="29">
        <f t="shared" si="2"/>
        <v>0</v>
      </c>
      <c r="L40" s="29">
        <f t="shared" si="3"/>
        <v>0</v>
      </c>
      <c r="M40" s="29">
        <f t="shared" si="4"/>
        <v>0</v>
      </c>
      <c r="N40" s="67">
        <v>32</v>
      </c>
      <c r="O40" s="67"/>
      <c r="P40" s="67">
        <v>2</v>
      </c>
      <c r="Q40" s="38">
        <v>10153</v>
      </c>
      <c r="R40" s="84">
        <v>1</v>
      </c>
      <c r="S40" s="35">
        <v>1.316</v>
      </c>
      <c r="T40" s="85">
        <v>48</v>
      </c>
      <c r="U40" s="29">
        <v>53.1</v>
      </c>
      <c r="V40" s="43">
        <f>ROUND((N40*Q40*R40/1000-N40*U40/100*T40*247/1000)*S40,1)+0.3</f>
        <v>162.70000000000002</v>
      </c>
      <c r="W40" s="43">
        <f t="shared" si="5"/>
        <v>0</v>
      </c>
      <c r="X40" s="43">
        <f t="shared" si="6"/>
        <v>26.7</v>
      </c>
      <c r="Y40" s="43">
        <f t="shared" si="0"/>
        <v>189.4</v>
      </c>
      <c r="Z40" s="24">
        <f>Y40-'[1]2018-без налогов'!$AQ36</f>
        <v>0</v>
      </c>
    </row>
    <row r="41" spans="1:26" s="26" customFormat="1" ht="16.5" customHeight="1">
      <c r="A41" s="33">
        <v>34</v>
      </c>
      <c r="B41" s="25" t="s">
        <v>36</v>
      </c>
      <c r="C41" s="76"/>
      <c r="D41" s="65"/>
      <c r="E41" s="66"/>
      <c r="F41" s="38">
        <v>8923</v>
      </c>
      <c r="G41" s="35">
        <v>1</v>
      </c>
      <c r="H41" s="35">
        <f t="shared" si="1"/>
        <v>0.812</v>
      </c>
      <c r="I41" s="23">
        <v>48</v>
      </c>
      <c r="J41" s="29">
        <v>53.1</v>
      </c>
      <c r="K41" s="29">
        <f t="shared" si="2"/>
        <v>0</v>
      </c>
      <c r="L41" s="29">
        <f t="shared" si="3"/>
        <v>0</v>
      </c>
      <c r="M41" s="29">
        <f t="shared" si="4"/>
        <v>0</v>
      </c>
      <c r="N41" s="67">
        <v>22</v>
      </c>
      <c r="O41" s="67"/>
      <c r="P41" s="67"/>
      <c r="Q41" s="38">
        <v>10153</v>
      </c>
      <c r="R41" s="84">
        <v>1</v>
      </c>
      <c r="S41" s="35">
        <v>0.812</v>
      </c>
      <c r="T41" s="85">
        <v>48</v>
      </c>
      <c r="U41" s="29">
        <v>53.1</v>
      </c>
      <c r="V41" s="43">
        <f t="shared" si="7"/>
        <v>68.9</v>
      </c>
      <c r="W41" s="43">
        <f t="shared" si="5"/>
        <v>0</v>
      </c>
      <c r="X41" s="43">
        <f t="shared" si="6"/>
        <v>0</v>
      </c>
      <c r="Y41" s="43">
        <f t="shared" si="0"/>
        <v>68.9</v>
      </c>
      <c r="Z41" s="24">
        <f>Y41-'[1]2018-без налогов'!$AQ37</f>
        <v>0</v>
      </c>
    </row>
    <row r="42" spans="1:26" s="26" customFormat="1" ht="15" customHeight="1">
      <c r="A42" s="32">
        <v>35</v>
      </c>
      <c r="B42" s="25" t="s">
        <v>37</v>
      </c>
      <c r="C42" s="76"/>
      <c r="D42" s="65"/>
      <c r="E42" s="66"/>
      <c r="F42" s="38">
        <v>8923</v>
      </c>
      <c r="G42" s="35">
        <v>1</v>
      </c>
      <c r="H42" s="35">
        <f t="shared" si="1"/>
        <v>1.055</v>
      </c>
      <c r="I42" s="27">
        <v>48</v>
      </c>
      <c r="J42" s="29">
        <v>53.1</v>
      </c>
      <c r="K42" s="29">
        <f t="shared" si="2"/>
        <v>0</v>
      </c>
      <c r="L42" s="29">
        <f t="shared" si="3"/>
        <v>0</v>
      </c>
      <c r="M42" s="29">
        <f t="shared" si="4"/>
        <v>0</v>
      </c>
      <c r="N42" s="67">
        <v>34</v>
      </c>
      <c r="O42" s="67"/>
      <c r="P42" s="67"/>
      <c r="Q42" s="38">
        <v>10153</v>
      </c>
      <c r="R42" s="84">
        <v>1</v>
      </c>
      <c r="S42" s="35">
        <v>1.055</v>
      </c>
      <c r="T42" s="86">
        <v>48</v>
      </c>
      <c r="U42" s="29">
        <v>53.1</v>
      </c>
      <c r="V42" s="43">
        <f>ROUND((N42*Q42*R42/1000-N42*U42/100*T42*247/1000)*S42,1)-0.1</f>
        <v>138.3</v>
      </c>
      <c r="W42" s="43">
        <f t="shared" si="5"/>
        <v>0</v>
      </c>
      <c r="X42" s="43">
        <f t="shared" si="6"/>
        <v>0</v>
      </c>
      <c r="Y42" s="43">
        <f t="shared" si="0"/>
        <v>138.3</v>
      </c>
      <c r="Z42" s="24">
        <f>Y42-'[1]2018-без налогов'!$AQ38</f>
        <v>0</v>
      </c>
    </row>
    <row r="43" spans="1:26" s="24" customFormat="1" ht="15.75" customHeight="1">
      <c r="A43" s="31">
        <v>36</v>
      </c>
      <c r="B43" s="22" t="s">
        <v>38</v>
      </c>
      <c r="C43" s="65"/>
      <c r="D43" s="65"/>
      <c r="E43" s="66"/>
      <c r="F43" s="38">
        <v>8923</v>
      </c>
      <c r="G43" s="35">
        <v>1</v>
      </c>
      <c r="H43" s="35">
        <f t="shared" si="1"/>
        <v>1.022</v>
      </c>
      <c r="I43" s="23">
        <v>48</v>
      </c>
      <c r="J43" s="29">
        <v>53.1</v>
      </c>
      <c r="K43" s="29">
        <f t="shared" si="2"/>
        <v>0</v>
      </c>
      <c r="L43" s="29">
        <f t="shared" si="3"/>
        <v>0</v>
      </c>
      <c r="M43" s="29">
        <f t="shared" si="4"/>
        <v>0</v>
      </c>
      <c r="N43" s="67">
        <v>63</v>
      </c>
      <c r="O43" s="67"/>
      <c r="P43" s="67"/>
      <c r="Q43" s="38">
        <v>10153</v>
      </c>
      <c r="R43" s="84">
        <v>1</v>
      </c>
      <c r="S43" s="35">
        <v>1.022</v>
      </c>
      <c r="T43" s="85">
        <v>48</v>
      </c>
      <c r="U43" s="29">
        <v>53.1</v>
      </c>
      <c r="V43" s="43">
        <f>ROUND((N43*Q43*R43/1000-N43*U43/100*T43*247/1000)*S43,1)+0.1</f>
        <v>248.5</v>
      </c>
      <c r="W43" s="43">
        <f t="shared" si="5"/>
        <v>0</v>
      </c>
      <c r="X43" s="43">
        <f t="shared" si="6"/>
        <v>0</v>
      </c>
      <c r="Y43" s="43">
        <f t="shared" si="0"/>
        <v>248.5</v>
      </c>
      <c r="Z43" s="24">
        <f>Y43-'[1]2018-без налогов'!$AQ39</f>
        <v>0</v>
      </c>
    </row>
    <row r="44" spans="1:26" s="24" customFormat="1" ht="15.75">
      <c r="A44" s="30">
        <v>37</v>
      </c>
      <c r="B44" s="22" t="s">
        <v>39</v>
      </c>
      <c r="C44" s="65"/>
      <c r="D44" s="65"/>
      <c r="E44" s="66"/>
      <c r="F44" s="38">
        <v>8923</v>
      </c>
      <c r="G44" s="35">
        <v>1</v>
      </c>
      <c r="H44" s="35">
        <f t="shared" si="1"/>
        <v>1.159</v>
      </c>
      <c r="I44" s="23">
        <v>48</v>
      </c>
      <c r="J44" s="29">
        <v>53.1</v>
      </c>
      <c r="K44" s="29">
        <f t="shared" si="2"/>
        <v>0</v>
      </c>
      <c r="L44" s="29">
        <f t="shared" si="3"/>
        <v>0</v>
      </c>
      <c r="M44" s="29">
        <f t="shared" si="4"/>
        <v>0</v>
      </c>
      <c r="N44" s="67">
        <v>12</v>
      </c>
      <c r="O44" s="67"/>
      <c r="P44" s="67"/>
      <c r="Q44" s="38">
        <v>10153</v>
      </c>
      <c r="R44" s="84">
        <v>1</v>
      </c>
      <c r="S44" s="35">
        <v>1.159</v>
      </c>
      <c r="T44" s="85">
        <v>48</v>
      </c>
      <c r="U44" s="29">
        <v>53.1</v>
      </c>
      <c r="V44" s="43">
        <f t="shared" si="7"/>
        <v>53.6</v>
      </c>
      <c r="W44" s="43">
        <f t="shared" si="5"/>
        <v>0</v>
      </c>
      <c r="X44" s="43">
        <f t="shared" si="6"/>
        <v>0</v>
      </c>
      <c r="Y44" s="43">
        <f t="shared" si="0"/>
        <v>53.6</v>
      </c>
      <c r="Z44" s="24">
        <f>Y44-'[1]2018-без налогов'!$AQ40</f>
        <v>0</v>
      </c>
    </row>
    <row r="45" spans="1:26" s="24" customFormat="1" ht="15.75">
      <c r="A45" s="31">
        <v>38</v>
      </c>
      <c r="B45" s="22" t="s">
        <v>22</v>
      </c>
      <c r="C45" s="81"/>
      <c r="D45" s="81"/>
      <c r="E45" s="81"/>
      <c r="F45" s="38">
        <v>8923</v>
      </c>
      <c r="G45" s="35">
        <v>1</v>
      </c>
      <c r="H45" s="35">
        <f t="shared" si="1"/>
        <v>1.373</v>
      </c>
      <c r="I45" s="23">
        <v>48</v>
      </c>
      <c r="J45" s="29">
        <v>53.1</v>
      </c>
      <c r="K45" s="29">
        <f t="shared" si="2"/>
        <v>0</v>
      </c>
      <c r="L45" s="29">
        <f t="shared" si="3"/>
        <v>0</v>
      </c>
      <c r="M45" s="29">
        <f t="shared" si="4"/>
        <v>0</v>
      </c>
      <c r="N45" s="81">
        <v>40</v>
      </c>
      <c r="O45" s="81"/>
      <c r="P45" s="81"/>
      <c r="Q45" s="38">
        <v>10153</v>
      </c>
      <c r="R45" s="84">
        <v>1</v>
      </c>
      <c r="S45" s="35">
        <v>1.373</v>
      </c>
      <c r="T45" s="85">
        <v>48</v>
      </c>
      <c r="U45" s="29">
        <v>53.1</v>
      </c>
      <c r="V45" s="43">
        <f>ROUND((N45*Q45*R45/1000-N45*U45/100*T45*247/1000)*S45,1)-0.1</f>
        <v>211.8</v>
      </c>
      <c r="W45" s="43">
        <f t="shared" si="5"/>
        <v>0</v>
      </c>
      <c r="X45" s="43">
        <f t="shared" si="6"/>
        <v>0</v>
      </c>
      <c r="Y45" s="43">
        <f t="shared" si="0"/>
        <v>211.8</v>
      </c>
      <c r="Z45" s="24">
        <f>Y45-'[1]2018-без налогов'!$AQ41</f>
        <v>0</v>
      </c>
    </row>
    <row r="46" spans="1:26" s="24" customFormat="1" ht="15.75">
      <c r="A46" s="30">
        <v>39</v>
      </c>
      <c r="B46" s="22" t="s">
        <v>40</v>
      </c>
      <c r="C46" s="65"/>
      <c r="D46" s="65"/>
      <c r="E46" s="66"/>
      <c r="F46" s="38">
        <v>8923</v>
      </c>
      <c r="G46" s="35">
        <v>1</v>
      </c>
      <c r="H46" s="35">
        <f t="shared" si="1"/>
        <v>1.264</v>
      </c>
      <c r="I46" s="23">
        <v>48</v>
      </c>
      <c r="J46" s="29">
        <v>53.1</v>
      </c>
      <c r="K46" s="29">
        <f t="shared" si="2"/>
        <v>0</v>
      </c>
      <c r="L46" s="29">
        <f t="shared" si="3"/>
        <v>0</v>
      </c>
      <c r="M46" s="29">
        <f t="shared" si="4"/>
        <v>0</v>
      </c>
      <c r="N46" s="67">
        <v>22</v>
      </c>
      <c r="O46" s="67"/>
      <c r="P46" s="67"/>
      <c r="Q46" s="38">
        <v>10153</v>
      </c>
      <c r="R46" s="84">
        <v>1</v>
      </c>
      <c r="S46" s="35">
        <v>1.264</v>
      </c>
      <c r="T46" s="85">
        <v>48</v>
      </c>
      <c r="U46" s="29">
        <v>53.1</v>
      </c>
      <c r="V46" s="43">
        <f t="shared" si="7"/>
        <v>107.3</v>
      </c>
      <c r="W46" s="43">
        <f t="shared" si="5"/>
        <v>0</v>
      </c>
      <c r="X46" s="43">
        <f t="shared" si="6"/>
        <v>0</v>
      </c>
      <c r="Y46" s="43">
        <f t="shared" si="0"/>
        <v>107.3</v>
      </c>
      <c r="Z46" s="24">
        <f>Y46-'[1]2018-без налогов'!$AQ42</f>
        <v>0</v>
      </c>
    </row>
    <row r="47" spans="1:26" s="24" customFormat="1" ht="15.75">
      <c r="A47" s="31">
        <v>40</v>
      </c>
      <c r="B47" s="22" t="s">
        <v>41</v>
      </c>
      <c r="C47" s="65"/>
      <c r="D47" s="65"/>
      <c r="E47" s="66"/>
      <c r="F47" s="38">
        <v>8923</v>
      </c>
      <c r="G47" s="35">
        <v>1</v>
      </c>
      <c r="H47" s="35">
        <f t="shared" si="1"/>
        <v>1.779</v>
      </c>
      <c r="I47" s="23">
        <v>48</v>
      </c>
      <c r="J47" s="29">
        <v>53.1</v>
      </c>
      <c r="K47" s="29">
        <f t="shared" si="2"/>
        <v>0</v>
      </c>
      <c r="L47" s="29">
        <f t="shared" si="3"/>
        <v>0</v>
      </c>
      <c r="M47" s="29">
        <f t="shared" si="4"/>
        <v>0</v>
      </c>
      <c r="N47" s="67">
        <v>7</v>
      </c>
      <c r="O47" s="67"/>
      <c r="P47" s="67"/>
      <c r="Q47" s="38">
        <v>10153</v>
      </c>
      <c r="R47" s="84">
        <v>1</v>
      </c>
      <c r="S47" s="35">
        <v>1.779</v>
      </c>
      <c r="T47" s="85">
        <v>48</v>
      </c>
      <c r="U47" s="29">
        <v>53.1</v>
      </c>
      <c r="V47" s="43">
        <f t="shared" si="7"/>
        <v>48</v>
      </c>
      <c r="W47" s="43">
        <f t="shared" si="5"/>
        <v>0</v>
      </c>
      <c r="X47" s="43">
        <f t="shared" si="6"/>
        <v>0</v>
      </c>
      <c r="Y47" s="43">
        <f t="shared" si="0"/>
        <v>48</v>
      </c>
      <c r="Z47" s="24">
        <f>Y47-'[1]2018-без налогов'!$AQ43</f>
        <v>0</v>
      </c>
    </row>
    <row r="48" spans="1:26" s="24" customFormat="1" ht="15.75">
      <c r="A48" s="30">
        <v>41</v>
      </c>
      <c r="B48" s="22" t="s">
        <v>42</v>
      </c>
      <c r="C48" s="65"/>
      <c r="D48" s="65"/>
      <c r="E48" s="66"/>
      <c r="F48" s="38">
        <v>8923</v>
      </c>
      <c r="G48" s="35">
        <v>1</v>
      </c>
      <c r="H48" s="35">
        <f t="shared" si="1"/>
        <v>1.317</v>
      </c>
      <c r="I48" s="23">
        <v>48</v>
      </c>
      <c r="J48" s="29">
        <v>53.1</v>
      </c>
      <c r="K48" s="29">
        <f t="shared" si="2"/>
        <v>0</v>
      </c>
      <c r="L48" s="29">
        <f t="shared" si="3"/>
        <v>0</v>
      </c>
      <c r="M48" s="29">
        <f t="shared" si="4"/>
        <v>0</v>
      </c>
      <c r="N48" s="67">
        <v>15</v>
      </c>
      <c r="O48" s="67"/>
      <c r="P48" s="67"/>
      <c r="Q48" s="38">
        <v>10153</v>
      </c>
      <c r="R48" s="84">
        <v>1</v>
      </c>
      <c r="S48" s="35">
        <v>1.317</v>
      </c>
      <c r="T48" s="85">
        <v>48</v>
      </c>
      <c r="U48" s="29">
        <v>53.1</v>
      </c>
      <c r="V48" s="43">
        <f t="shared" si="7"/>
        <v>76.2</v>
      </c>
      <c r="W48" s="43">
        <f t="shared" si="5"/>
        <v>0</v>
      </c>
      <c r="X48" s="43">
        <f t="shared" si="6"/>
        <v>0</v>
      </c>
      <c r="Y48" s="43">
        <f t="shared" si="0"/>
        <v>76.2</v>
      </c>
      <c r="Z48" s="24">
        <f>Y48-'[1]2018-без налогов'!$AQ44</f>
        <v>0</v>
      </c>
    </row>
    <row r="49" spans="1:25" s="24" customFormat="1" ht="15.75">
      <c r="A49" s="31">
        <v>42</v>
      </c>
      <c r="B49" s="22" t="s">
        <v>23</v>
      </c>
      <c r="C49" s="65"/>
      <c r="D49" s="65"/>
      <c r="E49" s="66"/>
      <c r="F49" s="38">
        <v>8923</v>
      </c>
      <c r="G49" s="35">
        <v>1</v>
      </c>
      <c r="H49" s="35">
        <f t="shared" si="1"/>
        <v>0</v>
      </c>
      <c r="I49" s="23">
        <v>48</v>
      </c>
      <c r="J49" s="29">
        <v>53.1</v>
      </c>
      <c r="K49" s="29">
        <f t="shared" si="2"/>
        <v>0</v>
      </c>
      <c r="L49" s="29">
        <f t="shared" si="3"/>
        <v>0</v>
      </c>
      <c r="M49" s="29">
        <f t="shared" si="4"/>
        <v>0</v>
      </c>
      <c r="N49" s="67"/>
      <c r="O49" s="67"/>
      <c r="P49" s="67"/>
      <c r="Q49" s="38">
        <v>10153</v>
      </c>
      <c r="R49" s="84">
        <v>1</v>
      </c>
      <c r="S49" s="35"/>
      <c r="T49" s="85">
        <v>48</v>
      </c>
      <c r="U49" s="29">
        <v>53.1</v>
      </c>
      <c r="V49" s="43">
        <f t="shared" si="7"/>
        <v>0</v>
      </c>
      <c r="W49" s="43">
        <f t="shared" si="5"/>
        <v>0</v>
      </c>
      <c r="X49" s="43">
        <f t="shared" si="6"/>
        <v>0</v>
      </c>
      <c r="Y49" s="43">
        <f t="shared" si="0"/>
        <v>0</v>
      </c>
    </row>
    <row r="50" spans="1:26" s="24" customFormat="1" ht="15.75">
      <c r="A50" s="30">
        <v>43</v>
      </c>
      <c r="B50" s="22" t="s">
        <v>43</v>
      </c>
      <c r="C50" s="65"/>
      <c r="D50" s="65"/>
      <c r="E50" s="66"/>
      <c r="F50" s="38">
        <v>8923</v>
      </c>
      <c r="G50" s="35">
        <v>1</v>
      </c>
      <c r="H50" s="35">
        <f t="shared" si="1"/>
        <v>1.115</v>
      </c>
      <c r="I50" s="23">
        <v>48</v>
      </c>
      <c r="J50" s="29">
        <v>53.1</v>
      </c>
      <c r="K50" s="29">
        <f t="shared" si="2"/>
        <v>0</v>
      </c>
      <c r="L50" s="29">
        <f t="shared" si="3"/>
        <v>0</v>
      </c>
      <c r="M50" s="29">
        <f t="shared" si="4"/>
        <v>0</v>
      </c>
      <c r="N50" s="67">
        <v>21</v>
      </c>
      <c r="O50" s="67"/>
      <c r="P50" s="67"/>
      <c r="Q50" s="38">
        <v>10153</v>
      </c>
      <c r="R50" s="84">
        <v>1</v>
      </c>
      <c r="S50" s="35">
        <v>1.115</v>
      </c>
      <c r="T50" s="85">
        <v>48</v>
      </c>
      <c r="U50" s="29">
        <v>53.1</v>
      </c>
      <c r="V50" s="43">
        <f t="shared" si="7"/>
        <v>90.3</v>
      </c>
      <c r="W50" s="43">
        <f t="shared" si="5"/>
        <v>0</v>
      </c>
      <c r="X50" s="43">
        <f t="shared" si="6"/>
        <v>0</v>
      </c>
      <c r="Y50" s="43">
        <f t="shared" si="0"/>
        <v>90.3</v>
      </c>
      <c r="Z50" s="24">
        <f>Y50-'[1]2018-без налогов'!$AQ45</f>
        <v>0</v>
      </c>
    </row>
    <row r="51" spans="1:26" s="24" customFormat="1" ht="34.5" customHeight="1">
      <c r="A51" s="31">
        <v>44</v>
      </c>
      <c r="B51" s="25" t="s">
        <v>44</v>
      </c>
      <c r="C51" s="76"/>
      <c r="D51" s="65"/>
      <c r="E51" s="66"/>
      <c r="F51" s="38">
        <v>8923</v>
      </c>
      <c r="G51" s="35">
        <v>1</v>
      </c>
      <c r="H51" s="35">
        <f t="shared" si="1"/>
        <v>1.779</v>
      </c>
      <c r="I51" s="23">
        <v>48</v>
      </c>
      <c r="J51" s="29">
        <v>53.1</v>
      </c>
      <c r="K51" s="29">
        <f t="shared" si="2"/>
        <v>0</v>
      </c>
      <c r="L51" s="29">
        <f t="shared" si="3"/>
        <v>0</v>
      </c>
      <c r="M51" s="29">
        <f t="shared" si="4"/>
        <v>0</v>
      </c>
      <c r="N51" s="81">
        <v>9</v>
      </c>
      <c r="O51" s="67"/>
      <c r="P51" s="67"/>
      <c r="Q51" s="38">
        <v>10153</v>
      </c>
      <c r="R51" s="84">
        <v>1</v>
      </c>
      <c r="S51" s="35">
        <v>1.779</v>
      </c>
      <c r="T51" s="85">
        <v>48</v>
      </c>
      <c r="U51" s="29">
        <v>53.1</v>
      </c>
      <c r="V51" s="43">
        <f t="shared" si="7"/>
        <v>61.8</v>
      </c>
      <c r="W51" s="43">
        <f t="shared" si="5"/>
        <v>0</v>
      </c>
      <c r="X51" s="43">
        <f t="shared" si="6"/>
        <v>0</v>
      </c>
      <c r="Y51" s="43">
        <f t="shared" si="0"/>
        <v>61.8</v>
      </c>
      <c r="Z51" s="24">
        <f>Y51-'[1]2018-без налогов'!$AQ46</f>
        <v>0</v>
      </c>
    </row>
    <row r="52" spans="1:26" s="26" customFormat="1" ht="31.5">
      <c r="A52" s="33">
        <v>45</v>
      </c>
      <c r="B52" s="25" t="s">
        <v>45</v>
      </c>
      <c r="C52" s="76"/>
      <c r="D52" s="76"/>
      <c r="E52" s="77"/>
      <c r="F52" s="38">
        <v>8923</v>
      </c>
      <c r="G52" s="35">
        <v>1</v>
      </c>
      <c r="H52" s="35">
        <f t="shared" si="1"/>
        <v>1.076</v>
      </c>
      <c r="I52" s="23">
        <v>48</v>
      </c>
      <c r="J52" s="29">
        <v>53.1</v>
      </c>
      <c r="K52" s="29">
        <f t="shared" si="2"/>
        <v>0</v>
      </c>
      <c r="L52" s="29">
        <f t="shared" si="3"/>
        <v>0</v>
      </c>
      <c r="M52" s="29">
        <f t="shared" si="4"/>
        <v>0</v>
      </c>
      <c r="N52" s="81">
        <v>17</v>
      </c>
      <c r="O52" s="67"/>
      <c r="P52" s="67"/>
      <c r="Q52" s="38">
        <v>10153</v>
      </c>
      <c r="R52" s="84">
        <v>1</v>
      </c>
      <c r="S52" s="35">
        <v>1.076</v>
      </c>
      <c r="T52" s="85">
        <v>48</v>
      </c>
      <c r="U52" s="29">
        <v>53.1</v>
      </c>
      <c r="V52" s="43">
        <f t="shared" si="7"/>
        <v>70.6</v>
      </c>
      <c r="W52" s="43">
        <f t="shared" si="5"/>
        <v>0</v>
      </c>
      <c r="X52" s="43">
        <f t="shared" si="6"/>
        <v>0</v>
      </c>
      <c r="Y52" s="43">
        <f t="shared" si="0"/>
        <v>70.6</v>
      </c>
      <c r="Z52" s="24"/>
    </row>
    <row r="53" spans="1:26" s="52" customFormat="1" ht="51.75" customHeight="1">
      <c r="A53" s="151"/>
      <c r="B53" s="152" t="s">
        <v>74</v>
      </c>
      <c r="C53" s="125">
        <f>SUM(C8:C52)</f>
        <v>402</v>
      </c>
      <c r="D53" s="125">
        <f>SUM(D8:D52)</f>
        <v>3</v>
      </c>
      <c r="E53" s="125">
        <f>SUM(E8:E52)</f>
        <v>0</v>
      </c>
      <c r="F53" s="123"/>
      <c r="G53" s="122"/>
      <c r="H53" s="122"/>
      <c r="I53" s="153"/>
      <c r="J53" s="154"/>
      <c r="K53" s="153">
        <f aca="true" t="shared" si="8" ref="K53:P53">SUM(K8:K52)</f>
        <v>2009.7999999999997</v>
      </c>
      <c r="L53" s="153">
        <f t="shared" si="8"/>
        <v>42.7</v>
      </c>
      <c r="M53" s="153">
        <f t="shared" si="8"/>
        <v>0</v>
      </c>
      <c r="N53" s="51">
        <f t="shared" si="8"/>
        <v>3073</v>
      </c>
      <c r="O53" s="125">
        <f t="shared" si="8"/>
        <v>31</v>
      </c>
      <c r="P53" s="125">
        <f t="shared" si="8"/>
        <v>22</v>
      </c>
      <c r="Q53" s="123"/>
      <c r="R53" s="28"/>
      <c r="S53" s="155"/>
      <c r="T53" s="156"/>
      <c r="U53" s="154"/>
      <c r="V53" s="156">
        <f>SUM(V8:V52)</f>
        <v>16759.849999999995</v>
      </c>
      <c r="W53" s="156">
        <f>SUM(W8:W52)</f>
        <v>399.4</v>
      </c>
      <c r="X53" s="156">
        <f>SUM(X8:X52)</f>
        <v>314.9</v>
      </c>
      <c r="Y53" s="156">
        <f>SUM(Y8:Y52)</f>
        <v>19526.649999999998</v>
      </c>
      <c r="Z53" s="156"/>
    </row>
    <row r="54" spans="1:25" s="162" customFormat="1" ht="15.75">
      <c r="A54" s="131"/>
      <c r="B54" s="132"/>
      <c r="C54" s="133"/>
      <c r="D54" s="144"/>
      <c r="E54" s="144"/>
      <c r="F54" s="133"/>
      <c r="G54" s="157"/>
      <c r="H54" s="157"/>
      <c r="I54" s="134"/>
      <c r="J54" s="135"/>
      <c r="K54" s="158"/>
      <c r="L54" s="158"/>
      <c r="M54" s="158"/>
      <c r="N54" s="133"/>
      <c r="O54" s="133"/>
      <c r="P54" s="159"/>
      <c r="Q54" s="133"/>
      <c r="R54" s="160"/>
      <c r="S54" s="160"/>
      <c r="T54" s="138"/>
      <c r="U54" s="135"/>
      <c r="V54" s="161"/>
      <c r="W54" s="161"/>
      <c r="X54" s="161"/>
      <c r="Y54" s="161"/>
    </row>
    <row r="55" spans="1:25" s="162" customFormat="1" ht="15.75">
      <c r="A55" s="131"/>
      <c r="B55" s="132"/>
      <c r="C55" s="144"/>
      <c r="D55" s="144"/>
      <c r="E55" s="144"/>
      <c r="F55" s="133"/>
      <c r="G55" s="157"/>
      <c r="H55" s="157"/>
      <c r="I55" s="134"/>
      <c r="J55" s="135"/>
      <c r="K55" s="158"/>
      <c r="L55" s="158"/>
      <c r="M55" s="158"/>
      <c r="N55" s="133"/>
      <c r="O55" s="144"/>
      <c r="P55" s="163"/>
      <c r="Q55" s="133"/>
      <c r="R55" s="160"/>
      <c r="S55" s="160"/>
      <c r="T55" s="138"/>
      <c r="U55" s="135"/>
      <c r="V55" s="161"/>
      <c r="W55" s="161"/>
      <c r="X55" s="161"/>
      <c r="Y55" s="161"/>
    </row>
    <row r="56" spans="1:25" s="165" customFormat="1" ht="15.75">
      <c r="A56" s="142"/>
      <c r="B56" s="143"/>
      <c r="C56" s="144"/>
      <c r="D56" s="144"/>
      <c r="E56" s="144"/>
      <c r="F56" s="146"/>
      <c r="G56" s="146"/>
      <c r="H56" s="146"/>
      <c r="I56" s="145"/>
      <c r="J56" s="145"/>
      <c r="K56" s="145"/>
      <c r="L56" s="145"/>
      <c r="M56" s="145"/>
      <c r="N56" s="144"/>
      <c r="O56" s="144"/>
      <c r="P56" s="144"/>
      <c r="Q56" s="146"/>
      <c r="R56" s="146"/>
      <c r="S56" s="146"/>
      <c r="T56" s="164"/>
      <c r="U56" s="164"/>
      <c r="V56" s="164"/>
      <c r="W56" s="164"/>
      <c r="X56" s="164"/>
      <c r="Y56" s="164"/>
    </row>
    <row r="57" spans="1:20" ht="18" customHeight="1">
      <c r="A57" s="18"/>
      <c r="B57" s="19"/>
      <c r="C57" s="19"/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5.75">
      <c r="A58" s="3"/>
      <c r="B58" s="4"/>
      <c r="C58" s="4"/>
      <c r="D58" s="4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ht="15.75">
      <c r="A59" s="3"/>
      <c r="B59" s="4"/>
      <c r="C59" s="4"/>
      <c r="D59" s="4"/>
      <c r="E59" s="17"/>
      <c r="F59" s="17"/>
      <c r="G59" s="17"/>
      <c r="H59" s="17"/>
      <c r="I59" s="17"/>
      <c r="J59" s="17"/>
      <c r="K59" s="17"/>
      <c r="L59" s="17"/>
      <c r="M59" s="17"/>
      <c r="N59" s="5"/>
      <c r="O59" s="5"/>
      <c r="P59" s="5"/>
      <c r="Q59" s="5"/>
      <c r="R59" s="5"/>
      <c r="S59" s="5"/>
      <c r="T59" s="5"/>
    </row>
    <row r="60" spans="1:20" ht="15.75">
      <c r="A60" s="3"/>
      <c r="B60" s="4"/>
      <c r="C60" s="4"/>
      <c r="D60" s="4"/>
      <c r="E60" s="17"/>
      <c r="F60" s="17"/>
      <c r="G60" s="17"/>
      <c r="H60" s="17"/>
      <c r="I60" s="17"/>
      <c r="J60" s="17"/>
      <c r="K60" s="17"/>
      <c r="L60" s="17"/>
      <c r="M60" s="17"/>
      <c r="N60" s="5"/>
      <c r="O60" s="5"/>
      <c r="P60" s="5"/>
      <c r="Q60" s="5"/>
      <c r="R60" s="5"/>
      <c r="S60" s="5"/>
      <c r="T60" s="5"/>
    </row>
    <row r="61" spans="1:20" ht="15.75">
      <c r="A61" s="3"/>
      <c r="B61" s="4"/>
      <c r="C61" s="4"/>
      <c r="D61" s="4"/>
      <c r="E61" s="17"/>
      <c r="F61" s="17"/>
      <c r="G61" s="17"/>
      <c r="H61" s="17"/>
      <c r="I61" s="17"/>
      <c r="J61" s="17"/>
      <c r="K61" s="17"/>
      <c r="L61" s="17"/>
      <c r="M61" s="17"/>
      <c r="N61" s="5"/>
      <c r="O61" s="5"/>
      <c r="P61" s="5"/>
      <c r="Q61" s="5"/>
      <c r="R61" s="5"/>
      <c r="S61" s="5"/>
      <c r="T61" s="5"/>
    </row>
    <row r="62" spans="1:20" ht="15.75">
      <c r="A62" s="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5"/>
      <c r="O62" s="5"/>
      <c r="P62" s="5"/>
      <c r="Q62" s="5"/>
      <c r="R62" s="5"/>
      <c r="S62" s="5"/>
      <c r="T62" s="5"/>
    </row>
    <row r="63" spans="1:20" ht="15.75">
      <c r="A63" s="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5"/>
      <c r="O63" s="5"/>
      <c r="P63" s="5"/>
      <c r="Q63" s="5"/>
      <c r="R63" s="5"/>
      <c r="S63" s="5"/>
      <c r="T63" s="5"/>
    </row>
    <row r="64" spans="1:20" ht="16.5" customHeight="1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5"/>
      <c r="P64" s="5"/>
      <c r="Q64" s="5"/>
      <c r="R64" s="5"/>
      <c r="S64" s="5"/>
      <c r="T64" s="5"/>
    </row>
    <row r="65" spans="1:20" ht="15.7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5"/>
      <c r="P65" s="5"/>
      <c r="Q65" s="5"/>
      <c r="R65" s="5"/>
      <c r="S65" s="5"/>
      <c r="T65" s="5"/>
    </row>
    <row r="66" spans="1:20" ht="15.7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5"/>
      <c r="P66" s="5"/>
      <c r="Q66" s="5"/>
      <c r="R66" s="5"/>
      <c r="S66" s="5"/>
      <c r="T66" s="5"/>
    </row>
    <row r="67" spans="1:20" ht="15.7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5"/>
      <c r="P67" s="5"/>
      <c r="Q67" s="5"/>
      <c r="R67" s="5"/>
      <c r="S67" s="5"/>
      <c r="T67" s="5"/>
    </row>
    <row r="68" spans="1:20" ht="15.7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5"/>
      <c r="P68" s="5"/>
      <c r="Q68" s="5"/>
      <c r="R68" s="5"/>
      <c r="S68" s="5"/>
      <c r="T68" s="5"/>
    </row>
    <row r="69" spans="1:20" ht="15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5"/>
      <c r="P69" s="5"/>
      <c r="Q69" s="5"/>
      <c r="R69" s="5"/>
      <c r="S69" s="5"/>
      <c r="T69" s="5"/>
    </row>
    <row r="70" spans="1:20" ht="15.75">
      <c r="A70" s="3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8"/>
      <c r="O70" s="8"/>
      <c r="P70" s="8"/>
      <c r="Q70" s="8"/>
      <c r="R70" s="8"/>
      <c r="S70" s="8"/>
      <c r="T70" s="8"/>
    </row>
    <row r="71" spans="1:20" s="9" customFormat="1" ht="16.5" customHeight="1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</row>
    <row r="72" spans="1:20" ht="15.75">
      <c r="A72" s="3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5"/>
      <c r="O72" s="5"/>
      <c r="P72" s="5"/>
      <c r="Q72" s="5"/>
      <c r="R72" s="5"/>
      <c r="S72" s="5"/>
      <c r="T72" s="5"/>
    </row>
    <row r="73" spans="1:20" ht="15.75">
      <c r="A73" s="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5"/>
      <c r="O73" s="5"/>
      <c r="P73" s="5"/>
      <c r="Q73" s="5"/>
      <c r="R73" s="5"/>
      <c r="S73" s="5"/>
      <c r="T73" s="5"/>
    </row>
    <row r="74" spans="1:20" ht="15.75">
      <c r="A74" s="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5"/>
      <c r="O74" s="5"/>
      <c r="P74" s="5"/>
      <c r="Q74" s="5"/>
      <c r="R74" s="5"/>
      <c r="S74" s="5"/>
      <c r="T74" s="5"/>
    </row>
    <row r="75" spans="1:20" ht="15.75">
      <c r="A75" s="3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5"/>
      <c r="O75" s="5"/>
      <c r="P75" s="5"/>
      <c r="Q75" s="5"/>
      <c r="R75" s="5"/>
      <c r="S75" s="5"/>
      <c r="T75" s="5"/>
    </row>
    <row r="76" spans="1:20" ht="18" customHeight="1">
      <c r="A76" s="3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5"/>
      <c r="O76" s="5"/>
      <c r="P76" s="5"/>
      <c r="Q76" s="5"/>
      <c r="R76" s="5"/>
      <c r="S76" s="5"/>
      <c r="T76" s="5"/>
    </row>
    <row r="77" spans="1:20" ht="15.75">
      <c r="A77" s="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5"/>
      <c r="O77" s="5"/>
      <c r="P77" s="5"/>
      <c r="Q77" s="5"/>
      <c r="R77" s="5"/>
      <c r="S77" s="5"/>
      <c r="T77" s="5"/>
    </row>
    <row r="78" spans="1:20" ht="15.75">
      <c r="A78" s="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5"/>
      <c r="O78" s="5"/>
      <c r="P78" s="5"/>
      <c r="Q78" s="5"/>
      <c r="R78" s="5"/>
      <c r="S78" s="5"/>
      <c r="T78" s="5"/>
    </row>
    <row r="79" spans="1:20" ht="15.75">
      <c r="A79" s="3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5"/>
      <c r="O79" s="5"/>
      <c r="P79" s="5"/>
      <c r="Q79" s="5"/>
      <c r="R79" s="5"/>
      <c r="S79" s="5"/>
      <c r="T79" s="5"/>
    </row>
    <row r="80" spans="1:20" ht="15.75">
      <c r="A80" s="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5"/>
      <c r="O80" s="5"/>
      <c r="P80" s="5"/>
      <c r="Q80" s="5"/>
      <c r="R80" s="5"/>
      <c r="S80" s="5"/>
      <c r="T80" s="5"/>
    </row>
    <row r="81" spans="1:20" ht="15.75">
      <c r="A81" s="3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5"/>
      <c r="O81" s="5"/>
      <c r="P81" s="5"/>
      <c r="Q81" s="5"/>
      <c r="R81" s="5"/>
      <c r="S81" s="5"/>
      <c r="T81" s="5"/>
    </row>
    <row r="82" spans="1:20" ht="15.7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5"/>
      <c r="P82" s="5"/>
      <c r="Q82" s="5"/>
      <c r="R82" s="5"/>
      <c r="S82" s="5"/>
      <c r="T82" s="5"/>
    </row>
    <row r="83" spans="1:20" ht="15.7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5"/>
      <c r="P83" s="5"/>
      <c r="Q83" s="5"/>
      <c r="R83" s="5"/>
      <c r="S83" s="5"/>
      <c r="T83" s="5"/>
    </row>
    <row r="84" spans="1:20" ht="15.7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5"/>
      <c r="P84" s="5"/>
      <c r="Q84" s="5"/>
      <c r="R84" s="5"/>
      <c r="S84" s="5"/>
      <c r="T84" s="5"/>
    </row>
    <row r="85" spans="1:20" ht="15.7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5"/>
      <c r="P85" s="5"/>
      <c r="Q85" s="5"/>
      <c r="R85" s="5"/>
      <c r="S85" s="5"/>
      <c r="T85" s="5"/>
    </row>
    <row r="86" spans="1:20" ht="15.7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5"/>
      <c r="P86" s="5"/>
      <c r="Q86" s="5"/>
      <c r="R86" s="5"/>
      <c r="S86" s="5"/>
      <c r="T86" s="5"/>
    </row>
    <row r="87" spans="1:20" ht="15.7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5"/>
      <c r="P87" s="5"/>
      <c r="Q87" s="5"/>
      <c r="R87" s="5"/>
      <c r="S87" s="5"/>
      <c r="T87" s="5"/>
    </row>
    <row r="88" spans="1:20" ht="15.7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5"/>
      <c r="P88" s="5"/>
      <c r="Q88" s="5"/>
      <c r="R88" s="5"/>
      <c r="S88" s="5"/>
      <c r="T88" s="5"/>
    </row>
    <row r="89" spans="1:20" ht="15.7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5"/>
      <c r="P89" s="5"/>
      <c r="Q89" s="5"/>
      <c r="R89" s="5"/>
      <c r="S89" s="5"/>
      <c r="T89" s="5"/>
    </row>
    <row r="90" spans="1:20" ht="15.7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5"/>
      <c r="P90" s="5"/>
      <c r="Q90" s="5"/>
      <c r="R90" s="5"/>
      <c r="S90" s="5"/>
      <c r="T90" s="5"/>
    </row>
    <row r="91" spans="1:20" ht="15.7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5"/>
      <c r="P91" s="5"/>
      <c r="Q91" s="5"/>
      <c r="R91" s="5"/>
      <c r="S91" s="5"/>
      <c r="T91" s="5"/>
    </row>
    <row r="92" spans="1:20" ht="15.7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5"/>
      <c r="P92" s="5"/>
      <c r="Q92" s="5"/>
      <c r="R92" s="5"/>
      <c r="S92" s="5"/>
      <c r="T92" s="5"/>
    </row>
    <row r="93" spans="1:20" ht="15.7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5"/>
      <c r="P93" s="5"/>
      <c r="Q93" s="5"/>
      <c r="R93" s="5"/>
      <c r="S93" s="5"/>
      <c r="T93" s="5"/>
    </row>
    <row r="94" spans="1:20" ht="15.7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5"/>
      <c r="P94" s="5"/>
      <c r="Q94" s="5"/>
      <c r="R94" s="5"/>
      <c r="S94" s="5"/>
      <c r="T94" s="5"/>
    </row>
    <row r="95" spans="1:20" ht="15.7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5"/>
      <c r="P95" s="5"/>
      <c r="Q95" s="5"/>
      <c r="R95" s="5"/>
      <c r="S95" s="5"/>
      <c r="T95" s="5"/>
    </row>
    <row r="96" spans="1:20" ht="15.7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5"/>
      <c r="P96" s="5"/>
      <c r="Q96" s="5"/>
      <c r="R96" s="5"/>
      <c r="S96" s="5"/>
      <c r="T96" s="5"/>
    </row>
    <row r="97" spans="1:20" ht="15.7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5"/>
      <c r="P97" s="5"/>
      <c r="Q97" s="5"/>
      <c r="R97" s="5"/>
      <c r="S97" s="5"/>
      <c r="T97" s="5"/>
    </row>
    <row r="98" spans="1:20" ht="15.7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5"/>
      <c r="P98" s="5"/>
      <c r="Q98" s="5"/>
      <c r="R98" s="5"/>
      <c r="S98" s="5"/>
      <c r="T98" s="5"/>
    </row>
    <row r="99" spans="1:20" ht="15.7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5"/>
      <c r="P99" s="5"/>
      <c r="Q99" s="5"/>
      <c r="R99" s="5"/>
      <c r="S99" s="5"/>
      <c r="T99" s="5"/>
    </row>
    <row r="100" spans="1:20" ht="15.7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5"/>
      <c r="P100" s="5"/>
      <c r="Q100" s="5"/>
      <c r="R100" s="5"/>
      <c r="S100" s="5"/>
      <c r="T100" s="5"/>
    </row>
    <row r="101" spans="1:20" ht="15.7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5"/>
      <c r="P101" s="5"/>
      <c r="Q101" s="5"/>
      <c r="R101" s="5"/>
      <c r="S101" s="5"/>
      <c r="T101" s="5"/>
    </row>
    <row r="102" spans="1:20" ht="15.7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5"/>
      <c r="P102" s="5"/>
      <c r="Q102" s="5"/>
      <c r="R102" s="5"/>
      <c r="S102" s="5"/>
      <c r="T102" s="5"/>
    </row>
    <row r="103" spans="1:20" ht="15.7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5"/>
      <c r="P103" s="5"/>
      <c r="Q103" s="5"/>
      <c r="R103" s="5"/>
      <c r="S103" s="5"/>
      <c r="T103" s="5"/>
    </row>
    <row r="104" spans="1:20" ht="15.7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5"/>
      <c r="P104" s="5"/>
      <c r="Q104" s="5"/>
      <c r="R104" s="5"/>
      <c r="S104" s="5"/>
      <c r="T104" s="5"/>
    </row>
    <row r="105" spans="1:20" ht="15.7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5"/>
      <c r="P105" s="5"/>
      <c r="Q105" s="5"/>
      <c r="R105" s="5"/>
      <c r="S105" s="5"/>
      <c r="T105" s="5"/>
    </row>
    <row r="106" spans="1:20" ht="15.7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5"/>
      <c r="P106" s="5"/>
      <c r="Q106" s="5"/>
      <c r="R106" s="5"/>
      <c r="S106" s="5"/>
      <c r="T106" s="5"/>
    </row>
    <row r="107" spans="1:20" ht="15.7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5"/>
      <c r="P107" s="5"/>
      <c r="Q107" s="5"/>
      <c r="R107" s="5"/>
      <c r="S107" s="5"/>
      <c r="T107" s="5"/>
    </row>
    <row r="108" spans="1:20" ht="15.7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5"/>
      <c r="P108" s="5"/>
      <c r="Q108" s="5"/>
      <c r="R108" s="5"/>
      <c r="S108" s="5"/>
      <c r="T108" s="5"/>
    </row>
    <row r="109" spans="1:20" ht="15.7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5"/>
      <c r="P109" s="5"/>
      <c r="Q109" s="5"/>
      <c r="R109" s="5"/>
      <c r="S109" s="5"/>
      <c r="T109" s="5"/>
    </row>
    <row r="110" spans="1:20" ht="15.7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5"/>
      <c r="P110" s="5"/>
      <c r="Q110" s="5"/>
      <c r="R110" s="5"/>
      <c r="S110" s="5"/>
      <c r="T110" s="5"/>
    </row>
    <row r="111" spans="1:20" ht="15.7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5"/>
      <c r="P111" s="5"/>
      <c r="Q111" s="5"/>
      <c r="R111" s="5"/>
      <c r="S111" s="5"/>
      <c r="T111" s="5"/>
    </row>
    <row r="112" spans="1:20" ht="15.7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5"/>
      <c r="P112" s="5"/>
      <c r="Q112" s="5"/>
      <c r="R112" s="5"/>
      <c r="S112" s="5"/>
      <c r="T112" s="5"/>
    </row>
    <row r="113" spans="1:20" ht="15.7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5"/>
      <c r="T113" s="5"/>
    </row>
    <row r="114" spans="1:20" ht="15.7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5"/>
      <c r="P114" s="5"/>
      <c r="Q114" s="5"/>
      <c r="R114" s="5"/>
      <c r="S114" s="5"/>
      <c r="T114" s="5"/>
    </row>
    <row r="115" spans="1:20" ht="15.7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5"/>
      <c r="P115" s="5"/>
      <c r="Q115" s="5"/>
      <c r="R115" s="5"/>
      <c r="S115" s="5"/>
      <c r="T115" s="5"/>
    </row>
    <row r="116" spans="1:20" ht="15.75">
      <c r="A116" s="10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8"/>
      <c r="O116" s="8"/>
      <c r="P116" s="8"/>
      <c r="Q116" s="8"/>
      <c r="R116" s="8"/>
      <c r="S116" s="8"/>
      <c r="T116" s="8"/>
    </row>
    <row r="117" spans="1:20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2"/>
      <c r="O117" s="12"/>
      <c r="P117" s="12"/>
      <c r="Q117" s="12"/>
      <c r="R117" s="12"/>
      <c r="S117" s="12"/>
      <c r="T117" s="12"/>
    </row>
    <row r="118" spans="1:20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5"/>
      <c r="O118" s="5"/>
      <c r="P118" s="5"/>
      <c r="Q118" s="5"/>
      <c r="R118" s="5"/>
      <c r="S118" s="5"/>
      <c r="T118" s="5"/>
    </row>
  </sheetData>
  <sheetProtection/>
  <mergeCells count="32">
    <mergeCell ref="S4:Y4"/>
    <mergeCell ref="F1:G1"/>
    <mergeCell ref="D2:G2"/>
    <mergeCell ref="R5:R6"/>
    <mergeCell ref="S5:S6"/>
    <mergeCell ref="N5:P5"/>
    <mergeCell ref="X5:X6"/>
    <mergeCell ref="F5:F6"/>
    <mergeCell ref="Y5:Y6"/>
    <mergeCell ref="T5:T6"/>
    <mergeCell ref="U5:U6"/>
    <mergeCell ref="V5:V6"/>
    <mergeCell ref="W5:W6"/>
    <mergeCell ref="K5:K6"/>
    <mergeCell ref="L5:L6"/>
    <mergeCell ref="A71:T71"/>
    <mergeCell ref="C5:E5"/>
    <mergeCell ref="I5:I6"/>
    <mergeCell ref="J5:J6"/>
    <mergeCell ref="H3:M3"/>
    <mergeCell ref="G5:G6"/>
    <mergeCell ref="H5:H6"/>
    <mergeCell ref="C3:G3"/>
    <mergeCell ref="N4:R4"/>
    <mergeCell ref="S3:Y3"/>
    <mergeCell ref="H4:M4"/>
    <mergeCell ref="N3:R3"/>
    <mergeCell ref="M5:M6"/>
    <mergeCell ref="Q5:Q6"/>
    <mergeCell ref="C4:G4"/>
    <mergeCell ref="A3:A6"/>
    <mergeCell ref="B3:B6"/>
  </mergeCells>
  <printOptions horizontalCentered="1"/>
  <pageMargins left="0.3937007874015748" right="0.1968503937007874" top="0.5905511811023623" bottom="0" header="0" footer="0"/>
  <pageSetup horizontalDpi="600" verticalDpi="600" orientation="portrait" paperSize="9" scale="60" r:id="rId1"/>
  <rowBreaks count="1" manualBreakCount="1">
    <brk id="56" max="255" man="1"/>
  </rowBreaks>
  <colBreaks count="1" manualBreakCount="1">
    <brk id="18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8"/>
  <sheetViews>
    <sheetView view="pageBreakPreview" zoomScale="81" zoomScaleNormal="71" zoomScaleSheetLayoutView="81" zoomScalePageLayoutView="0" workbookViewId="0" topLeftCell="A1">
      <pane xSplit="2" ySplit="6" topLeftCell="E3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4" sqref="A54:IV56"/>
    </sheetView>
  </sheetViews>
  <sheetFormatPr defaultColWidth="9.140625" defaultRowHeight="12.75"/>
  <cols>
    <col min="1" max="1" width="9.00390625" style="13" customWidth="1"/>
    <col min="2" max="3" width="30.8515625" style="13" customWidth="1"/>
    <col min="4" max="4" width="24.00390625" style="13" customWidth="1"/>
    <col min="5" max="5" width="19.421875" style="13" customWidth="1"/>
    <col min="6" max="7" width="17.28125" style="13" customWidth="1"/>
    <col min="8" max="8" width="26.421875" style="13" customWidth="1"/>
    <col min="9" max="11" width="20.00390625" style="13" customWidth="1"/>
    <col min="12" max="13" width="24.421875" style="14" customWidth="1"/>
    <col min="14" max="14" width="18.28125" style="14" customWidth="1"/>
    <col min="15" max="15" width="17.140625" style="14" customWidth="1"/>
    <col min="16" max="16" width="22.8515625" style="14" customWidth="1"/>
    <col min="17" max="19" width="20.421875" style="1" customWidth="1"/>
    <col min="20" max="20" width="19.421875" style="1" customWidth="1"/>
    <col min="21" max="21" width="0.13671875" style="1" customWidth="1"/>
    <col min="22" max="16384" width="9.140625" style="1" customWidth="1"/>
  </cols>
  <sheetData>
    <row r="1" spans="1:16" ht="15.75">
      <c r="A1" s="45"/>
      <c r="B1" s="45"/>
      <c r="C1" s="45"/>
      <c r="D1" s="45"/>
      <c r="E1" s="45"/>
      <c r="F1" s="45"/>
      <c r="G1" s="107" t="s">
        <v>92</v>
      </c>
      <c r="H1" s="107"/>
      <c r="I1" s="45"/>
      <c r="J1" s="45"/>
      <c r="K1" s="45"/>
      <c r="L1" s="45"/>
      <c r="M1" s="45"/>
      <c r="N1" s="45"/>
      <c r="O1" s="45"/>
      <c r="P1" s="45"/>
    </row>
    <row r="2" spans="1:16" ht="18.75">
      <c r="A2" s="60"/>
      <c r="B2" s="60"/>
      <c r="C2" s="60"/>
      <c r="D2" s="60"/>
      <c r="E2" s="108" t="s">
        <v>86</v>
      </c>
      <c r="F2" s="108"/>
      <c r="G2" s="108"/>
      <c r="H2" s="108"/>
      <c r="I2" s="56"/>
      <c r="J2" s="56"/>
      <c r="K2" s="56"/>
      <c r="L2" s="2"/>
      <c r="M2" s="2"/>
      <c r="N2" s="2"/>
      <c r="O2" s="2"/>
      <c r="P2" s="2"/>
    </row>
    <row r="3" spans="1:27" ht="27.75" customHeight="1">
      <c r="A3" s="100" t="s">
        <v>0</v>
      </c>
      <c r="B3" s="97" t="s">
        <v>63</v>
      </c>
      <c r="C3" s="103" t="s">
        <v>90</v>
      </c>
      <c r="D3" s="104"/>
      <c r="E3" s="104"/>
      <c r="F3" s="104"/>
      <c r="G3" s="104"/>
      <c r="H3" s="105"/>
      <c r="I3" s="106" t="s">
        <v>89</v>
      </c>
      <c r="J3" s="106"/>
      <c r="K3" s="106"/>
      <c r="L3" s="106"/>
      <c r="M3" s="106"/>
      <c r="N3" s="106"/>
      <c r="O3" s="106"/>
      <c r="P3" s="103" t="s">
        <v>87</v>
      </c>
      <c r="Q3" s="104"/>
      <c r="R3" s="104"/>
      <c r="S3" s="104"/>
      <c r="T3" s="104"/>
      <c r="U3" s="49"/>
      <c r="V3" s="49"/>
      <c r="W3" s="48"/>
      <c r="X3" s="48"/>
      <c r="Y3" s="48"/>
      <c r="Z3" s="48"/>
      <c r="AA3" s="48"/>
    </row>
    <row r="4" spans="1:27" ht="27.75" customHeight="1">
      <c r="A4" s="101"/>
      <c r="B4" s="98"/>
      <c r="C4" s="106" t="s">
        <v>46</v>
      </c>
      <c r="D4" s="106"/>
      <c r="E4" s="106"/>
      <c r="F4" s="106"/>
      <c r="G4" s="106"/>
      <c r="H4" s="106"/>
      <c r="I4" s="103" t="s">
        <v>46</v>
      </c>
      <c r="J4" s="104"/>
      <c r="K4" s="104"/>
      <c r="L4" s="104"/>
      <c r="M4" s="104"/>
      <c r="N4" s="104"/>
      <c r="O4" s="104"/>
      <c r="P4" s="103" t="s">
        <v>46</v>
      </c>
      <c r="Q4" s="104"/>
      <c r="R4" s="104"/>
      <c r="S4" s="104"/>
      <c r="T4" s="104"/>
      <c r="U4" s="49"/>
      <c r="V4" s="49"/>
      <c r="W4" s="48"/>
      <c r="X4" s="48"/>
      <c r="Y4" s="48"/>
      <c r="Z4" s="48"/>
      <c r="AA4" s="48"/>
    </row>
    <row r="5" spans="1:27" ht="27.75" customHeight="1">
      <c r="A5" s="101"/>
      <c r="B5" s="98"/>
      <c r="C5" s="119" t="s">
        <v>81</v>
      </c>
      <c r="D5" s="115" t="s">
        <v>49</v>
      </c>
      <c r="E5" s="111"/>
      <c r="F5" s="116"/>
      <c r="G5" s="109" t="s">
        <v>80</v>
      </c>
      <c r="H5" s="117" t="s">
        <v>83</v>
      </c>
      <c r="I5" s="106" t="s">
        <v>60</v>
      </c>
      <c r="J5" s="106" t="s">
        <v>61</v>
      </c>
      <c r="K5" s="106" t="s">
        <v>62</v>
      </c>
      <c r="L5" s="103" t="s">
        <v>49</v>
      </c>
      <c r="M5" s="104"/>
      <c r="N5" s="105"/>
      <c r="O5" s="113" t="s">
        <v>80</v>
      </c>
      <c r="P5" s="112" t="s">
        <v>83</v>
      </c>
      <c r="Q5" s="106" t="s">
        <v>77</v>
      </c>
      <c r="R5" s="106" t="s">
        <v>78</v>
      </c>
      <c r="S5" s="106" t="s">
        <v>79</v>
      </c>
      <c r="T5" s="106" t="s">
        <v>82</v>
      </c>
      <c r="U5" s="48"/>
      <c r="V5" s="48"/>
      <c r="W5" s="48"/>
      <c r="X5" s="48"/>
      <c r="Y5" s="48"/>
      <c r="Z5" s="48"/>
      <c r="AA5" s="48"/>
    </row>
    <row r="6" spans="1:20" ht="177" customHeight="1">
      <c r="A6" s="102"/>
      <c r="B6" s="99"/>
      <c r="C6" s="120"/>
      <c r="D6" s="57" t="s">
        <v>66</v>
      </c>
      <c r="E6" s="58" t="s">
        <v>67</v>
      </c>
      <c r="F6" s="58" t="s">
        <v>65</v>
      </c>
      <c r="G6" s="106"/>
      <c r="H6" s="112"/>
      <c r="I6" s="106"/>
      <c r="J6" s="106"/>
      <c r="K6" s="106"/>
      <c r="L6" s="57" t="s">
        <v>76</v>
      </c>
      <c r="M6" s="58" t="s">
        <v>72</v>
      </c>
      <c r="N6" s="58" t="s">
        <v>73</v>
      </c>
      <c r="O6" s="118"/>
      <c r="P6" s="112"/>
      <c r="Q6" s="106"/>
      <c r="R6" s="106"/>
      <c r="S6" s="106"/>
      <c r="T6" s="106"/>
    </row>
    <row r="7" spans="1:20" s="15" customFormat="1" ht="17.2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  <c r="Q7" s="34">
        <v>17</v>
      </c>
      <c r="R7" s="34">
        <v>18</v>
      </c>
      <c r="S7" s="34">
        <v>19</v>
      </c>
      <c r="T7" s="34">
        <v>20</v>
      </c>
    </row>
    <row r="8" spans="1:21" s="24" customFormat="1" ht="15.75">
      <c r="A8" s="30">
        <v>1</v>
      </c>
      <c r="B8" s="22" t="s">
        <v>1</v>
      </c>
      <c r="C8" s="87">
        <v>10941</v>
      </c>
      <c r="D8" s="62"/>
      <c r="E8" s="62"/>
      <c r="F8" s="63"/>
      <c r="G8" s="38">
        <v>5823</v>
      </c>
      <c r="H8" s="84">
        <f>ROUND(C8/G8,3)</f>
        <v>1.879</v>
      </c>
      <c r="I8" s="29">
        <f>ROUND((D8)*G8*H8/1000,1)</f>
        <v>0</v>
      </c>
      <c r="J8" s="29">
        <f>ROUND((E8)*G8*H8/1000,1)</f>
        <v>0</v>
      </c>
      <c r="K8" s="29">
        <f>ROUND((F8)*G8*H8/1000,1)</f>
        <v>0</v>
      </c>
      <c r="L8" s="64">
        <v>102</v>
      </c>
      <c r="M8" s="64"/>
      <c r="N8" s="64">
        <v>1</v>
      </c>
      <c r="O8" s="38">
        <v>5823</v>
      </c>
      <c r="P8" s="84">
        <f>H8</f>
        <v>1.879</v>
      </c>
      <c r="Q8" s="43">
        <f>ROUND((L8)*O8/1000*P8,1)</f>
        <v>1116</v>
      </c>
      <c r="R8" s="43">
        <f>ROUND((M8)*O8*P8/1000,1)</f>
        <v>0</v>
      </c>
      <c r="S8" s="43">
        <f>ROUND((N8)*O8*P8/1000,1)</f>
        <v>10.9</v>
      </c>
      <c r="T8" s="43">
        <f>I8+J8+K8+Q8+R8+S8</f>
        <v>1126.9</v>
      </c>
      <c r="U8" s="24">
        <f>T8-'[1]2018-без налогов'!$AY4</f>
        <v>0</v>
      </c>
    </row>
    <row r="9" spans="1:21" s="24" customFormat="1" ht="15.75">
      <c r="A9" s="31">
        <v>2</v>
      </c>
      <c r="B9" s="22" t="s">
        <v>2</v>
      </c>
      <c r="C9" s="88">
        <v>10397</v>
      </c>
      <c r="D9" s="65">
        <v>25</v>
      </c>
      <c r="E9" s="65"/>
      <c r="F9" s="66"/>
      <c r="G9" s="38">
        <v>5823</v>
      </c>
      <c r="H9" s="84">
        <f aca="true" t="shared" si="0" ref="H9:H52">ROUND(C9/G9,3)</f>
        <v>1.786</v>
      </c>
      <c r="I9" s="29">
        <f aca="true" t="shared" si="1" ref="I9:I52">ROUND((D9)*G9*H9/1000,1)</f>
        <v>260</v>
      </c>
      <c r="J9" s="29">
        <f aca="true" t="shared" si="2" ref="J9:J52">ROUND((E9)*G9*H9/1000,1)</f>
        <v>0</v>
      </c>
      <c r="K9" s="29">
        <f aca="true" t="shared" si="3" ref="K9:K55">ROUND((F9)*G9*H9/1000,1)</f>
        <v>0</v>
      </c>
      <c r="L9" s="67">
        <v>102</v>
      </c>
      <c r="M9" s="67">
        <v>1</v>
      </c>
      <c r="N9" s="67">
        <v>1</v>
      </c>
      <c r="O9" s="38">
        <v>5823</v>
      </c>
      <c r="P9" s="84">
        <f aca="true" t="shared" si="4" ref="P9:P52">H9</f>
        <v>1.786</v>
      </c>
      <c r="Q9" s="43">
        <f>ROUND((L9)*O9/1000*P9,1)-0.2</f>
        <v>1060.6</v>
      </c>
      <c r="R9" s="43">
        <f aca="true" t="shared" si="5" ref="R9:R52">ROUND((M9)*O9*P9/1000,1)</f>
        <v>10.4</v>
      </c>
      <c r="S9" s="43">
        <f>ROUND((N9)*O9*P9/1000,1)-0.2</f>
        <v>10.200000000000001</v>
      </c>
      <c r="T9" s="43">
        <f aca="true" t="shared" si="6" ref="T9:T55">I9+J9+K9+Q9+R9+S9</f>
        <v>1341.2</v>
      </c>
      <c r="U9" s="24">
        <f>T9-'[1]2018-без налогов'!$AY5</f>
        <v>0</v>
      </c>
    </row>
    <row r="10" spans="1:21" s="24" customFormat="1" ht="15.75">
      <c r="A10" s="30">
        <v>3</v>
      </c>
      <c r="B10" s="22" t="s">
        <v>3</v>
      </c>
      <c r="C10" s="88">
        <v>10713</v>
      </c>
      <c r="D10" s="65">
        <v>20</v>
      </c>
      <c r="E10" s="65"/>
      <c r="F10" s="66"/>
      <c r="G10" s="38">
        <v>5823</v>
      </c>
      <c r="H10" s="84">
        <f t="shared" si="0"/>
        <v>1.84</v>
      </c>
      <c r="I10" s="29">
        <f t="shared" si="1"/>
        <v>214.3</v>
      </c>
      <c r="J10" s="29">
        <f t="shared" si="2"/>
        <v>0</v>
      </c>
      <c r="K10" s="29">
        <f t="shared" si="3"/>
        <v>0</v>
      </c>
      <c r="L10" s="67">
        <v>121</v>
      </c>
      <c r="M10" s="67">
        <v>1</v>
      </c>
      <c r="N10" s="67"/>
      <c r="O10" s="38">
        <v>5823</v>
      </c>
      <c r="P10" s="84">
        <f t="shared" si="4"/>
        <v>1.84</v>
      </c>
      <c r="Q10" s="43">
        <f>ROUND((L10)*O10/1000*P10,1)-0.2</f>
        <v>1296.2</v>
      </c>
      <c r="R10" s="43">
        <f t="shared" si="5"/>
        <v>10.7</v>
      </c>
      <c r="S10" s="43">
        <f aca="true" t="shared" si="7" ref="S10:S52">ROUND((N10)*O10*P10/1000,1)</f>
        <v>0</v>
      </c>
      <c r="T10" s="43">
        <f t="shared" si="6"/>
        <v>1521.2</v>
      </c>
      <c r="U10" s="24">
        <f>T10-'[1]2018-без налогов'!$AY6</f>
        <v>0</v>
      </c>
    </row>
    <row r="11" spans="1:21" s="24" customFormat="1" ht="15.75">
      <c r="A11" s="31">
        <v>4</v>
      </c>
      <c r="B11" s="22" t="s">
        <v>4</v>
      </c>
      <c r="C11" s="88">
        <v>9534</v>
      </c>
      <c r="D11" s="65">
        <v>45</v>
      </c>
      <c r="E11" s="68"/>
      <c r="F11" s="66"/>
      <c r="G11" s="38">
        <v>5823</v>
      </c>
      <c r="H11" s="84">
        <f t="shared" si="0"/>
        <v>1.637</v>
      </c>
      <c r="I11" s="29">
        <f t="shared" si="1"/>
        <v>429</v>
      </c>
      <c r="J11" s="29">
        <f t="shared" si="2"/>
        <v>0</v>
      </c>
      <c r="K11" s="29">
        <f t="shared" si="3"/>
        <v>0</v>
      </c>
      <c r="L11" s="67">
        <v>191</v>
      </c>
      <c r="M11" s="67">
        <v>4</v>
      </c>
      <c r="N11" s="67">
        <v>3</v>
      </c>
      <c r="O11" s="38">
        <v>5823</v>
      </c>
      <c r="P11" s="84">
        <f t="shared" si="4"/>
        <v>1.637</v>
      </c>
      <c r="Q11" s="43">
        <f>ROUND((L11)*O11/1000*P11,1)+0.3</f>
        <v>1821</v>
      </c>
      <c r="R11" s="43">
        <f t="shared" si="5"/>
        <v>38.1</v>
      </c>
      <c r="S11" s="43">
        <f t="shared" si="7"/>
        <v>28.6</v>
      </c>
      <c r="T11" s="43">
        <f t="shared" si="6"/>
        <v>2316.7</v>
      </c>
      <c r="U11" s="24">
        <f>T11-'[1]2018-без налогов'!$AY7</f>
        <v>0</v>
      </c>
    </row>
    <row r="12" spans="1:21" s="24" customFormat="1" ht="15.75">
      <c r="A12" s="30">
        <v>5</v>
      </c>
      <c r="B12" s="22" t="s">
        <v>5</v>
      </c>
      <c r="C12" s="88">
        <v>8271</v>
      </c>
      <c r="D12" s="65">
        <v>74</v>
      </c>
      <c r="E12" s="65">
        <v>1</v>
      </c>
      <c r="F12" s="66"/>
      <c r="G12" s="38">
        <v>5823</v>
      </c>
      <c r="H12" s="84">
        <f t="shared" si="0"/>
        <v>1.42</v>
      </c>
      <c r="I12" s="29">
        <f t="shared" si="1"/>
        <v>611.9</v>
      </c>
      <c r="J12" s="29">
        <f t="shared" si="2"/>
        <v>8.3</v>
      </c>
      <c r="K12" s="29">
        <f t="shared" si="3"/>
        <v>0</v>
      </c>
      <c r="L12" s="67">
        <v>196</v>
      </c>
      <c r="M12" s="67"/>
      <c r="N12" s="67">
        <v>5</v>
      </c>
      <c r="O12" s="38">
        <v>5823</v>
      </c>
      <c r="P12" s="84">
        <f t="shared" si="4"/>
        <v>1.42</v>
      </c>
      <c r="Q12" s="43">
        <f>ROUND((L12)*O12/1000*P12,1)+0.7</f>
        <v>1621.4</v>
      </c>
      <c r="R12" s="43">
        <f t="shared" si="5"/>
        <v>0</v>
      </c>
      <c r="S12" s="43">
        <f t="shared" si="7"/>
        <v>41.3</v>
      </c>
      <c r="T12" s="43">
        <f t="shared" si="6"/>
        <v>2282.9</v>
      </c>
      <c r="U12" s="24">
        <f>T12-'[1]2018-без налогов'!$AY8</f>
        <v>0</v>
      </c>
    </row>
    <row r="13" spans="1:21" s="24" customFormat="1" ht="15.75">
      <c r="A13" s="31">
        <v>6</v>
      </c>
      <c r="B13" s="22" t="s">
        <v>6</v>
      </c>
      <c r="C13" s="88">
        <v>9138</v>
      </c>
      <c r="D13" s="65"/>
      <c r="E13" s="65"/>
      <c r="F13" s="66"/>
      <c r="G13" s="38">
        <v>5823</v>
      </c>
      <c r="H13" s="84">
        <f t="shared" si="0"/>
        <v>1.569</v>
      </c>
      <c r="I13" s="29">
        <f t="shared" si="1"/>
        <v>0</v>
      </c>
      <c r="J13" s="29">
        <f t="shared" si="2"/>
        <v>0</v>
      </c>
      <c r="K13" s="29">
        <f t="shared" si="3"/>
        <v>0</v>
      </c>
      <c r="L13" s="67">
        <v>156</v>
      </c>
      <c r="M13" s="67">
        <v>3</v>
      </c>
      <c r="N13" s="67">
        <v>1</v>
      </c>
      <c r="O13" s="38">
        <v>5823</v>
      </c>
      <c r="P13" s="84">
        <f t="shared" si="4"/>
        <v>1.569</v>
      </c>
      <c r="Q13" s="43">
        <f>ROUND((L13)*O13/1000*P13,1)+0.3</f>
        <v>1425.6</v>
      </c>
      <c r="R13" s="43">
        <f t="shared" si="5"/>
        <v>27.4</v>
      </c>
      <c r="S13" s="43">
        <f t="shared" si="7"/>
        <v>9.1</v>
      </c>
      <c r="T13" s="43">
        <f t="shared" si="6"/>
        <v>1462.1</v>
      </c>
      <c r="U13" s="24">
        <f>T13-'[1]2018-без налогов'!$AY9</f>
        <v>0</v>
      </c>
    </row>
    <row r="14" spans="1:21" s="24" customFormat="1" ht="15.75">
      <c r="A14" s="30">
        <v>7</v>
      </c>
      <c r="B14" s="22" t="s">
        <v>7</v>
      </c>
      <c r="C14" s="89">
        <v>8790</v>
      </c>
      <c r="D14" s="69">
        <v>25</v>
      </c>
      <c r="E14" s="69"/>
      <c r="F14" s="70"/>
      <c r="G14" s="38">
        <v>5823</v>
      </c>
      <c r="H14" s="84">
        <f t="shared" si="0"/>
        <v>1.51</v>
      </c>
      <c r="I14" s="29">
        <f t="shared" si="1"/>
        <v>219.8</v>
      </c>
      <c r="J14" s="29">
        <f t="shared" si="2"/>
        <v>0</v>
      </c>
      <c r="K14" s="29">
        <f t="shared" si="3"/>
        <v>0</v>
      </c>
      <c r="L14" s="67">
        <v>234</v>
      </c>
      <c r="M14" s="67">
        <v>1</v>
      </c>
      <c r="N14" s="67"/>
      <c r="O14" s="38">
        <v>5823</v>
      </c>
      <c r="P14" s="84">
        <f t="shared" si="4"/>
        <v>1.51</v>
      </c>
      <c r="Q14" s="43">
        <f>ROUND((L14)*O14/1000*P14,1)-0.7</f>
        <v>2056.8</v>
      </c>
      <c r="R14" s="43">
        <f t="shared" si="5"/>
        <v>8.8</v>
      </c>
      <c r="S14" s="43">
        <f t="shared" si="7"/>
        <v>0</v>
      </c>
      <c r="T14" s="43">
        <f t="shared" si="6"/>
        <v>2285.4000000000005</v>
      </c>
      <c r="U14" s="24">
        <f>T14-'[1]2018-без налогов'!$AY10</f>
        <v>0</v>
      </c>
    </row>
    <row r="15" spans="1:21" s="24" customFormat="1" ht="15.75">
      <c r="A15" s="31">
        <v>8</v>
      </c>
      <c r="B15" s="22" t="s">
        <v>8</v>
      </c>
      <c r="C15" s="88">
        <v>7980</v>
      </c>
      <c r="D15" s="65">
        <v>44</v>
      </c>
      <c r="E15" s="65"/>
      <c r="F15" s="66"/>
      <c r="G15" s="38">
        <v>5823</v>
      </c>
      <c r="H15" s="84">
        <f t="shared" si="0"/>
        <v>1.37</v>
      </c>
      <c r="I15" s="29">
        <f t="shared" si="1"/>
        <v>351</v>
      </c>
      <c r="J15" s="29">
        <f t="shared" si="2"/>
        <v>0</v>
      </c>
      <c r="K15" s="29">
        <f t="shared" si="3"/>
        <v>0</v>
      </c>
      <c r="L15" s="67">
        <v>224</v>
      </c>
      <c r="M15" s="67"/>
      <c r="N15" s="67">
        <v>2</v>
      </c>
      <c r="O15" s="38">
        <v>5823</v>
      </c>
      <c r="P15" s="84">
        <f t="shared" si="4"/>
        <v>1.37</v>
      </c>
      <c r="Q15" s="43">
        <f>ROUND((L15)*O15/1000*P15,1)+0.7</f>
        <v>1787.7</v>
      </c>
      <c r="R15" s="43">
        <f t="shared" si="5"/>
        <v>0</v>
      </c>
      <c r="S15" s="43">
        <f t="shared" si="7"/>
        <v>16</v>
      </c>
      <c r="T15" s="43">
        <f t="shared" si="6"/>
        <v>2154.7</v>
      </c>
      <c r="U15" s="24">
        <f>T15-'[1]2018-без налогов'!$AY11</f>
        <v>0</v>
      </c>
    </row>
    <row r="16" spans="1:21" s="24" customFormat="1" ht="15.75">
      <c r="A16" s="30">
        <v>9</v>
      </c>
      <c r="B16" s="22" t="s">
        <v>9</v>
      </c>
      <c r="C16" s="88">
        <v>12403</v>
      </c>
      <c r="D16" s="65">
        <v>40</v>
      </c>
      <c r="E16" s="65">
        <v>1</v>
      </c>
      <c r="F16" s="66"/>
      <c r="G16" s="38">
        <v>5823</v>
      </c>
      <c r="H16" s="84">
        <f t="shared" si="0"/>
        <v>2.13</v>
      </c>
      <c r="I16" s="29">
        <f t="shared" si="1"/>
        <v>496.1</v>
      </c>
      <c r="J16" s="29">
        <f t="shared" si="2"/>
        <v>12.4</v>
      </c>
      <c r="K16" s="29">
        <f t="shared" si="3"/>
        <v>0</v>
      </c>
      <c r="L16" s="67">
        <v>180</v>
      </c>
      <c r="M16" s="67">
        <v>2</v>
      </c>
      <c r="N16" s="67"/>
      <c r="O16" s="38">
        <v>5823</v>
      </c>
      <c r="P16" s="84">
        <f t="shared" si="4"/>
        <v>2.13</v>
      </c>
      <c r="Q16" s="43">
        <f aca="true" t="shared" si="8" ref="Q16:Q52">ROUND((L16)*O16/1000*P16,1)</f>
        <v>2232.5</v>
      </c>
      <c r="R16" s="43">
        <f t="shared" si="5"/>
        <v>24.8</v>
      </c>
      <c r="S16" s="43">
        <f t="shared" si="7"/>
        <v>0</v>
      </c>
      <c r="T16" s="43">
        <f t="shared" si="6"/>
        <v>2765.8</v>
      </c>
      <c r="U16" s="24">
        <f>T16-'[1]2018-без налогов'!$AY12</f>
        <v>0</v>
      </c>
    </row>
    <row r="17" spans="1:21" s="24" customFormat="1" ht="15.75">
      <c r="A17" s="31">
        <v>10</v>
      </c>
      <c r="B17" s="22" t="s">
        <v>10</v>
      </c>
      <c r="C17" s="88">
        <v>10441</v>
      </c>
      <c r="D17" s="65">
        <v>45</v>
      </c>
      <c r="E17" s="65"/>
      <c r="F17" s="66"/>
      <c r="G17" s="38">
        <v>5823</v>
      </c>
      <c r="H17" s="84">
        <f t="shared" si="0"/>
        <v>1.793</v>
      </c>
      <c r="I17" s="29">
        <f t="shared" si="1"/>
        <v>469.8</v>
      </c>
      <c r="J17" s="29">
        <f t="shared" si="2"/>
        <v>0</v>
      </c>
      <c r="K17" s="29">
        <f t="shared" si="3"/>
        <v>0</v>
      </c>
      <c r="L17" s="67">
        <v>189</v>
      </c>
      <c r="M17" s="67"/>
      <c r="N17" s="67"/>
      <c r="O17" s="38">
        <v>5823</v>
      </c>
      <c r="P17" s="84">
        <f t="shared" si="4"/>
        <v>1.793</v>
      </c>
      <c r="Q17" s="43">
        <f>ROUND((L17)*O17/1000*P17,1)+0.1</f>
        <v>1973.3999999999999</v>
      </c>
      <c r="R17" s="43">
        <f t="shared" si="5"/>
        <v>0</v>
      </c>
      <c r="S17" s="43">
        <f t="shared" si="7"/>
        <v>0</v>
      </c>
      <c r="T17" s="43">
        <f t="shared" si="6"/>
        <v>2443.2</v>
      </c>
      <c r="U17" s="24">
        <f>T17-'[1]2018-без налогов'!$AY13</f>
        <v>0</v>
      </c>
    </row>
    <row r="18" spans="1:21" s="24" customFormat="1" ht="15.75">
      <c r="A18" s="30">
        <v>11</v>
      </c>
      <c r="B18" s="25" t="s">
        <v>11</v>
      </c>
      <c r="C18" s="90">
        <v>21469</v>
      </c>
      <c r="D18" s="71">
        <v>21</v>
      </c>
      <c r="E18" s="71">
        <v>1</v>
      </c>
      <c r="F18" s="72"/>
      <c r="G18" s="38">
        <v>5823</v>
      </c>
      <c r="H18" s="84">
        <f t="shared" si="0"/>
        <v>3.687</v>
      </c>
      <c r="I18" s="29">
        <f t="shared" si="1"/>
        <v>450.9</v>
      </c>
      <c r="J18" s="29">
        <f t="shared" si="2"/>
        <v>21.5</v>
      </c>
      <c r="K18" s="29">
        <f t="shared" si="3"/>
        <v>0</v>
      </c>
      <c r="L18" s="73">
        <v>65</v>
      </c>
      <c r="M18" s="73">
        <v>1</v>
      </c>
      <c r="N18" s="73">
        <v>1</v>
      </c>
      <c r="O18" s="38">
        <v>5823</v>
      </c>
      <c r="P18" s="84">
        <f t="shared" si="4"/>
        <v>3.687</v>
      </c>
      <c r="Q18" s="43">
        <f>ROUND((L18)*O18/1000*P18,1)-0.2</f>
        <v>1395.3</v>
      </c>
      <c r="R18" s="43">
        <f t="shared" si="5"/>
        <v>21.5</v>
      </c>
      <c r="S18" s="43">
        <f t="shared" si="7"/>
        <v>21.5</v>
      </c>
      <c r="T18" s="43">
        <f t="shared" si="6"/>
        <v>1910.6999999999998</v>
      </c>
      <c r="U18" s="24">
        <f>T18-'[1]2018-без налогов'!$AY14</f>
        <v>0</v>
      </c>
    </row>
    <row r="19" spans="1:21" s="24" customFormat="1" ht="15.75">
      <c r="A19" s="31">
        <v>12</v>
      </c>
      <c r="B19" s="22" t="s">
        <v>25</v>
      </c>
      <c r="C19" s="88">
        <v>28285</v>
      </c>
      <c r="D19" s="65"/>
      <c r="E19" s="65"/>
      <c r="F19" s="66"/>
      <c r="G19" s="38">
        <v>5823</v>
      </c>
      <c r="H19" s="84">
        <f t="shared" si="0"/>
        <v>4.857</v>
      </c>
      <c r="I19" s="29">
        <f t="shared" si="1"/>
        <v>0</v>
      </c>
      <c r="J19" s="29">
        <f t="shared" si="2"/>
        <v>0</v>
      </c>
      <c r="K19" s="29">
        <f t="shared" si="3"/>
        <v>0</v>
      </c>
      <c r="L19" s="67">
        <v>24</v>
      </c>
      <c r="M19" s="67">
        <v>1</v>
      </c>
      <c r="N19" s="67">
        <v>1</v>
      </c>
      <c r="O19" s="38">
        <v>5823</v>
      </c>
      <c r="P19" s="84">
        <f t="shared" si="4"/>
        <v>4.857</v>
      </c>
      <c r="Q19" s="43">
        <f t="shared" si="8"/>
        <v>678.8</v>
      </c>
      <c r="R19" s="43">
        <f t="shared" si="5"/>
        <v>28.3</v>
      </c>
      <c r="S19" s="43">
        <f t="shared" si="7"/>
        <v>28.3</v>
      </c>
      <c r="T19" s="43">
        <f t="shared" si="6"/>
        <v>735.3999999999999</v>
      </c>
      <c r="U19" s="24">
        <f>T19-'[1]2018-без налогов'!$AY15</f>
        <v>0</v>
      </c>
    </row>
    <row r="20" spans="1:21" s="24" customFormat="1" ht="15.75">
      <c r="A20" s="30">
        <v>13</v>
      </c>
      <c r="B20" s="22" t="s">
        <v>24</v>
      </c>
      <c r="C20" s="89">
        <v>19032</v>
      </c>
      <c r="D20" s="69"/>
      <c r="E20" s="69"/>
      <c r="F20" s="70"/>
      <c r="G20" s="38">
        <v>5823</v>
      </c>
      <c r="H20" s="84">
        <f t="shared" si="0"/>
        <v>3.268</v>
      </c>
      <c r="I20" s="29">
        <f t="shared" si="1"/>
        <v>0</v>
      </c>
      <c r="J20" s="29">
        <f t="shared" si="2"/>
        <v>0</v>
      </c>
      <c r="K20" s="29">
        <f t="shared" si="3"/>
        <v>0</v>
      </c>
      <c r="L20" s="67">
        <v>23</v>
      </c>
      <c r="M20" s="67"/>
      <c r="N20" s="67">
        <v>2</v>
      </c>
      <c r="O20" s="38">
        <v>5823</v>
      </c>
      <c r="P20" s="84">
        <f t="shared" si="4"/>
        <v>3.268</v>
      </c>
      <c r="Q20" s="43">
        <f t="shared" si="8"/>
        <v>437.7</v>
      </c>
      <c r="R20" s="43">
        <f t="shared" si="5"/>
        <v>0</v>
      </c>
      <c r="S20" s="43">
        <f t="shared" si="7"/>
        <v>38.1</v>
      </c>
      <c r="T20" s="43">
        <f t="shared" si="6"/>
        <v>475.8</v>
      </c>
      <c r="U20" s="24">
        <f>T20-'[1]2018-без налогов'!$AY16</f>
        <v>0</v>
      </c>
    </row>
    <row r="21" spans="1:21" s="24" customFormat="1" ht="15.75">
      <c r="A21" s="31">
        <v>14</v>
      </c>
      <c r="B21" s="22" t="s">
        <v>12</v>
      </c>
      <c r="C21" s="88">
        <v>11724</v>
      </c>
      <c r="D21" s="65"/>
      <c r="E21" s="65"/>
      <c r="F21" s="66"/>
      <c r="G21" s="38">
        <v>5823</v>
      </c>
      <c r="H21" s="84">
        <f t="shared" si="0"/>
        <v>2.013</v>
      </c>
      <c r="I21" s="29">
        <f t="shared" si="1"/>
        <v>0</v>
      </c>
      <c r="J21" s="29">
        <f t="shared" si="2"/>
        <v>0</v>
      </c>
      <c r="K21" s="29">
        <f t="shared" si="3"/>
        <v>0</v>
      </c>
      <c r="L21" s="67">
        <v>82</v>
      </c>
      <c r="M21" s="67">
        <v>4</v>
      </c>
      <c r="N21" s="67"/>
      <c r="O21" s="38">
        <v>5823</v>
      </c>
      <c r="P21" s="84">
        <f t="shared" si="4"/>
        <v>2.013</v>
      </c>
      <c r="Q21" s="43">
        <f>ROUND((L21)*O21/1000*P21,1)+0.2</f>
        <v>961.4000000000001</v>
      </c>
      <c r="R21" s="43">
        <f t="shared" si="5"/>
        <v>46.9</v>
      </c>
      <c r="S21" s="43">
        <f t="shared" si="7"/>
        <v>0</v>
      </c>
      <c r="T21" s="43">
        <f t="shared" si="6"/>
        <v>1008.3000000000001</v>
      </c>
      <c r="U21" s="24">
        <f>T21-'[1]2018-без налогов'!$AY17</f>
        <v>0</v>
      </c>
    </row>
    <row r="22" spans="1:21" s="24" customFormat="1" ht="15.75">
      <c r="A22" s="30">
        <v>15</v>
      </c>
      <c r="B22" s="22" t="s">
        <v>13</v>
      </c>
      <c r="C22" s="88">
        <v>18982</v>
      </c>
      <c r="D22" s="65"/>
      <c r="E22" s="65"/>
      <c r="F22" s="66"/>
      <c r="G22" s="38">
        <v>5823</v>
      </c>
      <c r="H22" s="84">
        <f t="shared" si="0"/>
        <v>3.26</v>
      </c>
      <c r="I22" s="29">
        <f t="shared" si="1"/>
        <v>0</v>
      </c>
      <c r="J22" s="29">
        <f t="shared" si="2"/>
        <v>0</v>
      </c>
      <c r="K22" s="29">
        <f t="shared" si="3"/>
        <v>0</v>
      </c>
      <c r="L22" s="67">
        <v>45</v>
      </c>
      <c r="M22" s="67"/>
      <c r="N22" s="67"/>
      <c r="O22" s="38">
        <v>5823</v>
      </c>
      <c r="P22" s="84">
        <f t="shared" si="4"/>
        <v>3.26</v>
      </c>
      <c r="Q22" s="43">
        <f t="shared" si="8"/>
        <v>854.2</v>
      </c>
      <c r="R22" s="43">
        <f t="shared" si="5"/>
        <v>0</v>
      </c>
      <c r="S22" s="43">
        <f t="shared" si="7"/>
        <v>0</v>
      </c>
      <c r="T22" s="43">
        <f t="shared" si="6"/>
        <v>854.2</v>
      </c>
      <c r="U22" s="24">
        <f>T22-'[1]2018-без налогов'!$AY18</f>
        <v>0</v>
      </c>
    </row>
    <row r="23" spans="1:21" s="24" customFormat="1" ht="15.75">
      <c r="A23" s="31">
        <v>16</v>
      </c>
      <c r="B23" s="22" t="s">
        <v>14</v>
      </c>
      <c r="C23" s="88">
        <v>16720</v>
      </c>
      <c r="D23" s="65"/>
      <c r="E23" s="65"/>
      <c r="F23" s="66"/>
      <c r="G23" s="38">
        <v>5823</v>
      </c>
      <c r="H23" s="84">
        <f t="shared" si="0"/>
        <v>2.871</v>
      </c>
      <c r="I23" s="29">
        <f t="shared" si="1"/>
        <v>0</v>
      </c>
      <c r="J23" s="29">
        <f t="shared" si="2"/>
        <v>0</v>
      </c>
      <c r="K23" s="29">
        <f t="shared" si="3"/>
        <v>0</v>
      </c>
      <c r="L23" s="67">
        <v>50</v>
      </c>
      <c r="M23" s="67"/>
      <c r="N23" s="67"/>
      <c r="O23" s="38">
        <v>5823</v>
      </c>
      <c r="P23" s="84">
        <f t="shared" si="4"/>
        <v>2.871</v>
      </c>
      <c r="Q23" s="43">
        <f>ROUND((L23)*O23/1000*P23,1)+0.1</f>
        <v>836</v>
      </c>
      <c r="R23" s="43">
        <f t="shared" si="5"/>
        <v>0</v>
      </c>
      <c r="S23" s="43">
        <f t="shared" si="7"/>
        <v>0</v>
      </c>
      <c r="T23" s="43">
        <f t="shared" si="6"/>
        <v>836</v>
      </c>
      <c r="U23" s="24">
        <f>T23-'[1]2018-без налогов'!$AY19</f>
        <v>0</v>
      </c>
    </row>
    <row r="24" spans="1:21" s="26" customFormat="1" ht="16.5" customHeight="1">
      <c r="A24" s="32">
        <v>17</v>
      </c>
      <c r="B24" s="25" t="s">
        <v>15</v>
      </c>
      <c r="C24" s="91">
        <v>14441</v>
      </c>
      <c r="D24" s="74"/>
      <c r="E24" s="74"/>
      <c r="F24" s="75"/>
      <c r="G24" s="38">
        <v>5823</v>
      </c>
      <c r="H24" s="84">
        <f t="shared" si="0"/>
        <v>2.48</v>
      </c>
      <c r="I24" s="29">
        <f t="shared" si="1"/>
        <v>0</v>
      </c>
      <c r="J24" s="29">
        <f t="shared" si="2"/>
        <v>0</v>
      </c>
      <c r="K24" s="29">
        <f t="shared" si="3"/>
        <v>0</v>
      </c>
      <c r="L24" s="67">
        <v>63</v>
      </c>
      <c r="M24" s="67"/>
      <c r="N24" s="67">
        <v>1</v>
      </c>
      <c r="O24" s="38">
        <v>5823</v>
      </c>
      <c r="P24" s="84">
        <f t="shared" si="4"/>
        <v>2.48</v>
      </c>
      <c r="Q24" s="43">
        <f t="shared" si="8"/>
        <v>909.8</v>
      </c>
      <c r="R24" s="43">
        <f t="shared" si="5"/>
        <v>0</v>
      </c>
      <c r="S24" s="43">
        <f t="shared" si="7"/>
        <v>14.4</v>
      </c>
      <c r="T24" s="43">
        <f t="shared" si="6"/>
        <v>924.1999999999999</v>
      </c>
      <c r="U24" s="24">
        <f>T24-'[1]2018-без налогов'!$AY20</f>
        <v>0</v>
      </c>
    </row>
    <row r="25" spans="1:21" s="24" customFormat="1" ht="19.5" customHeight="1">
      <c r="A25" s="31">
        <v>18</v>
      </c>
      <c r="B25" s="22" t="s">
        <v>26</v>
      </c>
      <c r="C25" s="92">
        <v>37522</v>
      </c>
      <c r="D25" s="76"/>
      <c r="E25" s="76"/>
      <c r="F25" s="77"/>
      <c r="G25" s="38">
        <v>5823</v>
      </c>
      <c r="H25" s="84">
        <f t="shared" si="0"/>
        <v>6.444</v>
      </c>
      <c r="I25" s="29">
        <f t="shared" si="1"/>
        <v>0</v>
      </c>
      <c r="J25" s="29">
        <f t="shared" si="2"/>
        <v>0</v>
      </c>
      <c r="K25" s="29">
        <f t="shared" si="3"/>
        <v>0</v>
      </c>
      <c r="L25" s="67">
        <v>18</v>
      </c>
      <c r="M25" s="67"/>
      <c r="N25" s="67"/>
      <c r="O25" s="38">
        <v>5823</v>
      </c>
      <c r="P25" s="84">
        <f t="shared" si="4"/>
        <v>6.444</v>
      </c>
      <c r="Q25" s="43">
        <f t="shared" si="8"/>
        <v>675.4</v>
      </c>
      <c r="R25" s="43">
        <f t="shared" si="5"/>
        <v>0</v>
      </c>
      <c r="S25" s="43">
        <f t="shared" si="7"/>
        <v>0</v>
      </c>
      <c r="T25" s="43">
        <f t="shared" si="6"/>
        <v>675.4</v>
      </c>
      <c r="U25" s="24">
        <f>T25-'[1]2018-без налогов'!$AY21</f>
        <v>0</v>
      </c>
    </row>
    <row r="26" spans="1:21" s="24" customFormat="1" ht="19.5" customHeight="1">
      <c r="A26" s="30">
        <v>19</v>
      </c>
      <c r="B26" s="22" t="s">
        <v>27</v>
      </c>
      <c r="C26" s="92">
        <v>90163</v>
      </c>
      <c r="D26" s="76"/>
      <c r="E26" s="76"/>
      <c r="F26" s="77"/>
      <c r="G26" s="38">
        <v>5823</v>
      </c>
      <c r="H26" s="84">
        <f t="shared" si="0"/>
        <v>15.484</v>
      </c>
      <c r="I26" s="29">
        <f t="shared" si="1"/>
        <v>0</v>
      </c>
      <c r="J26" s="29">
        <f t="shared" si="2"/>
        <v>0</v>
      </c>
      <c r="K26" s="29">
        <f t="shared" si="3"/>
        <v>0</v>
      </c>
      <c r="L26" s="67">
        <v>8</v>
      </c>
      <c r="M26" s="67"/>
      <c r="N26" s="67"/>
      <c r="O26" s="38">
        <v>5823</v>
      </c>
      <c r="P26" s="84">
        <f t="shared" si="4"/>
        <v>15.484</v>
      </c>
      <c r="Q26" s="43">
        <f t="shared" si="8"/>
        <v>721.3</v>
      </c>
      <c r="R26" s="43">
        <f t="shared" si="5"/>
        <v>0</v>
      </c>
      <c r="S26" s="43">
        <f t="shared" si="7"/>
        <v>0</v>
      </c>
      <c r="T26" s="43">
        <f t="shared" si="6"/>
        <v>721.3</v>
      </c>
      <c r="U26" s="24">
        <f>T26-'[1]2018-без налогов'!$AY22</f>
        <v>0</v>
      </c>
    </row>
    <row r="27" spans="1:21" s="24" customFormat="1" ht="18" customHeight="1">
      <c r="A27" s="31">
        <v>20</v>
      </c>
      <c r="B27" s="22" t="s">
        <v>28</v>
      </c>
      <c r="C27" s="92">
        <v>58817</v>
      </c>
      <c r="D27" s="76"/>
      <c r="E27" s="76"/>
      <c r="F27" s="77"/>
      <c r="G27" s="38">
        <v>5823</v>
      </c>
      <c r="H27" s="84">
        <f t="shared" si="0"/>
        <v>10.101</v>
      </c>
      <c r="I27" s="29">
        <f t="shared" si="1"/>
        <v>0</v>
      </c>
      <c r="J27" s="29">
        <f t="shared" si="2"/>
        <v>0</v>
      </c>
      <c r="K27" s="29">
        <f t="shared" si="3"/>
        <v>0</v>
      </c>
      <c r="L27" s="67">
        <v>12</v>
      </c>
      <c r="M27" s="67"/>
      <c r="N27" s="67"/>
      <c r="O27" s="38">
        <v>5823</v>
      </c>
      <c r="P27" s="84">
        <f t="shared" si="4"/>
        <v>10.101</v>
      </c>
      <c r="Q27" s="43">
        <f t="shared" si="8"/>
        <v>705.8</v>
      </c>
      <c r="R27" s="43">
        <f t="shared" si="5"/>
        <v>0</v>
      </c>
      <c r="S27" s="43">
        <f t="shared" si="7"/>
        <v>0</v>
      </c>
      <c r="T27" s="43">
        <f t="shared" si="6"/>
        <v>705.8</v>
      </c>
      <c r="U27" s="24">
        <f>T27-'[1]2018-без налогов'!$AY23</f>
        <v>0</v>
      </c>
    </row>
    <row r="28" spans="1:21" s="24" customFormat="1" ht="18.75" customHeight="1">
      <c r="A28" s="30">
        <v>21</v>
      </c>
      <c r="B28" s="22" t="s">
        <v>29</v>
      </c>
      <c r="C28" s="92">
        <v>25544</v>
      </c>
      <c r="D28" s="76"/>
      <c r="E28" s="76"/>
      <c r="F28" s="77"/>
      <c r="G28" s="38">
        <v>5823</v>
      </c>
      <c r="H28" s="84">
        <f t="shared" si="0"/>
        <v>4.387</v>
      </c>
      <c r="I28" s="29">
        <f t="shared" si="1"/>
        <v>0</v>
      </c>
      <c r="J28" s="29">
        <f t="shared" si="2"/>
        <v>0</v>
      </c>
      <c r="K28" s="29">
        <f t="shared" si="3"/>
        <v>0</v>
      </c>
      <c r="L28" s="67">
        <v>26</v>
      </c>
      <c r="M28" s="67"/>
      <c r="N28" s="67">
        <v>1</v>
      </c>
      <c r="O28" s="38">
        <v>5823</v>
      </c>
      <c r="P28" s="84">
        <f t="shared" si="4"/>
        <v>4.387</v>
      </c>
      <c r="Q28" s="43">
        <f t="shared" si="8"/>
        <v>664.2</v>
      </c>
      <c r="R28" s="43">
        <f t="shared" si="5"/>
        <v>0</v>
      </c>
      <c r="S28" s="43">
        <f t="shared" si="7"/>
        <v>25.5</v>
      </c>
      <c r="T28" s="43">
        <f t="shared" si="6"/>
        <v>689.7</v>
      </c>
      <c r="U28" s="24">
        <f>T28-'[1]2018-без налогов'!$AY24</f>
        <v>0</v>
      </c>
    </row>
    <row r="29" spans="1:21" s="24" customFormat="1" ht="15.75">
      <c r="A29" s="31">
        <v>22</v>
      </c>
      <c r="B29" s="22" t="s">
        <v>16</v>
      </c>
      <c r="C29" s="87">
        <v>12095</v>
      </c>
      <c r="D29" s="62"/>
      <c r="E29" s="62"/>
      <c r="F29" s="63"/>
      <c r="G29" s="38">
        <v>5823</v>
      </c>
      <c r="H29" s="84">
        <f t="shared" si="0"/>
        <v>2.077</v>
      </c>
      <c r="I29" s="29">
        <f t="shared" si="1"/>
        <v>0</v>
      </c>
      <c r="J29" s="29">
        <f t="shared" si="2"/>
        <v>0</v>
      </c>
      <c r="K29" s="29">
        <f t="shared" si="3"/>
        <v>0</v>
      </c>
      <c r="L29" s="64">
        <v>92</v>
      </c>
      <c r="M29" s="64">
        <v>3</v>
      </c>
      <c r="N29" s="64"/>
      <c r="O29" s="38">
        <v>5823</v>
      </c>
      <c r="P29" s="84">
        <f t="shared" si="4"/>
        <v>2.077</v>
      </c>
      <c r="Q29" s="43">
        <f t="shared" si="8"/>
        <v>1112.7</v>
      </c>
      <c r="R29" s="43">
        <f t="shared" si="5"/>
        <v>36.3</v>
      </c>
      <c r="S29" s="43">
        <f t="shared" si="7"/>
        <v>0</v>
      </c>
      <c r="T29" s="43">
        <f t="shared" si="6"/>
        <v>1149</v>
      </c>
      <c r="U29" s="24">
        <f>T29-'[1]2018-без налогов'!$AY25</f>
        <v>0</v>
      </c>
    </row>
    <row r="30" spans="1:21" s="24" customFormat="1" ht="15.75">
      <c r="A30" s="30">
        <v>23</v>
      </c>
      <c r="B30" s="22" t="s">
        <v>17</v>
      </c>
      <c r="C30" s="88">
        <v>12546</v>
      </c>
      <c r="D30" s="65"/>
      <c r="E30" s="65"/>
      <c r="F30" s="66"/>
      <c r="G30" s="38">
        <v>5823</v>
      </c>
      <c r="H30" s="84">
        <f t="shared" si="0"/>
        <v>2.155</v>
      </c>
      <c r="I30" s="29">
        <f t="shared" si="1"/>
        <v>0</v>
      </c>
      <c r="J30" s="29">
        <f t="shared" si="2"/>
        <v>0</v>
      </c>
      <c r="K30" s="29">
        <f t="shared" si="3"/>
        <v>0</v>
      </c>
      <c r="L30" s="67">
        <v>90</v>
      </c>
      <c r="M30" s="67">
        <v>1</v>
      </c>
      <c r="N30" s="67"/>
      <c r="O30" s="38">
        <v>5823</v>
      </c>
      <c r="P30" s="84">
        <f t="shared" si="4"/>
        <v>2.155</v>
      </c>
      <c r="Q30" s="43">
        <f>ROUND((L30)*O30/1000*P30,1)-0.2</f>
        <v>1129.2</v>
      </c>
      <c r="R30" s="43">
        <f t="shared" si="5"/>
        <v>12.5</v>
      </c>
      <c r="S30" s="43">
        <f t="shared" si="7"/>
        <v>0</v>
      </c>
      <c r="T30" s="43">
        <f t="shared" si="6"/>
        <v>1141.7</v>
      </c>
      <c r="U30" s="24">
        <f>T30-'[1]2018-без налогов'!$AY26</f>
        <v>0</v>
      </c>
    </row>
    <row r="31" spans="1:21" s="26" customFormat="1" ht="18" customHeight="1">
      <c r="A31" s="31">
        <v>24</v>
      </c>
      <c r="B31" s="25" t="s">
        <v>18</v>
      </c>
      <c r="C31" s="92">
        <v>10507</v>
      </c>
      <c r="D31" s="76">
        <v>21</v>
      </c>
      <c r="E31" s="65"/>
      <c r="F31" s="66"/>
      <c r="G31" s="38">
        <v>5823</v>
      </c>
      <c r="H31" s="84">
        <f t="shared" si="0"/>
        <v>1.804</v>
      </c>
      <c r="I31" s="29">
        <f t="shared" si="1"/>
        <v>220.6</v>
      </c>
      <c r="J31" s="29">
        <f t="shared" si="2"/>
        <v>0</v>
      </c>
      <c r="K31" s="29">
        <f t="shared" si="3"/>
        <v>0</v>
      </c>
      <c r="L31" s="67">
        <v>93</v>
      </c>
      <c r="M31" s="67">
        <v>2</v>
      </c>
      <c r="N31" s="67">
        <v>1</v>
      </c>
      <c r="O31" s="38">
        <v>5823</v>
      </c>
      <c r="P31" s="84">
        <f t="shared" si="4"/>
        <v>1.804</v>
      </c>
      <c r="Q31" s="43">
        <f>ROUND((L31)*O31/1000*P31,1)+0.3</f>
        <v>977.1999999999999</v>
      </c>
      <c r="R31" s="43">
        <f t="shared" si="5"/>
        <v>21</v>
      </c>
      <c r="S31" s="43">
        <f t="shared" si="7"/>
        <v>10.5</v>
      </c>
      <c r="T31" s="43">
        <f t="shared" si="6"/>
        <v>1229.3</v>
      </c>
      <c r="U31" s="24">
        <f>T31-'[1]2018-без налогов'!$AY27</f>
        <v>0</v>
      </c>
    </row>
    <row r="32" spans="1:21" s="24" customFormat="1" ht="15.75">
      <c r="A32" s="30">
        <v>25</v>
      </c>
      <c r="B32" s="22" t="s">
        <v>19</v>
      </c>
      <c r="C32" s="88">
        <v>8931</v>
      </c>
      <c r="D32" s="65">
        <v>18</v>
      </c>
      <c r="E32" s="65"/>
      <c r="F32" s="66"/>
      <c r="G32" s="38">
        <v>5823</v>
      </c>
      <c r="H32" s="84">
        <f t="shared" si="0"/>
        <v>1.534</v>
      </c>
      <c r="I32" s="29">
        <f t="shared" si="1"/>
        <v>160.8</v>
      </c>
      <c r="J32" s="29">
        <f t="shared" si="2"/>
        <v>0</v>
      </c>
      <c r="K32" s="29">
        <f t="shared" si="3"/>
        <v>0</v>
      </c>
      <c r="L32" s="67">
        <v>118</v>
      </c>
      <c r="M32" s="67">
        <v>1</v>
      </c>
      <c r="N32" s="67"/>
      <c r="O32" s="38">
        <v>5823</v>
      </c>
      <c r="P32" s="84">
        <f t="shared" si="4"/>
        <v>1.534</v>
      </c>
      <c r="Q32" s="43">
        <f>ROUND((L32)*O32/1000*P32,1)-0.1</f>
        <v>1053.9</v>
      </c>
      <c r="R32" s="43">
        <f t="shared" si="5"/>
        <v>8.9</v>
      </c>
      <c r="S32" s="43">
        <f t="shared" si="7"/>
        <v>0</v>
      </c>
      <c r="T32" s="43">
        <f t="shared" si="6"/>
        <v>1223.6000000000001</v>
      </c>
      <c r="U32" s="24">
        <f>T32-'[1]2018-без налогов'!$AY28</f>
        <v>0</v>
      </c>
    </row>
    <row r="33" spans="1:21" s="24" customFormat="1" ht="15.75">
      <c r="A33" s="31">
        <v>26</v>
      </c>
      <c r="B33" s="22" t="s">
        <v>20</v>
      </c>
      <c r="C33" s="93">
        <v>10997</v>
      </c>
      <c r="D33" s="78">
        <v>24</v>
      </c>
      <c r="E33" s="78"/>
      <c r="F33" s="79"/>
      <c r="G33" s="38">
        <v>5823</v>
      </c>
      <c r="H33" s="84">
        <f t="shared" si="0"/>
        <v>1.889</v>
      </c>
      <c r="I33" s="29">
        <f t="shared" si="1"/>
        <v>264</v>
      </c>
      <c r="J33" s="29">
        <f t="shared" si="2"/>
        <v>0</v>
      </c>
      <c r="K33" s="29">
        <f t="shared" si="3"/>
        <v>0</v>
      </c>
      <c r="L33" s="80">
        <v>109</v>
      </c>
      <c r="M33" s="80">
        <v>3</v>
      </c>
      <c r="N33" s="80"/>
      <c r="O33" s="38">
        <v>5823</v>
      </c>
      <c r="P33" s="84">
        <f t="shared" si="4"/>
        <v>1.889</v>
      </c>
      <c r="Q33" s="43">
        <f>ROUND((L33)*O33/1000*P33,1)-0.4</f>
        <v>1198.6</v>
      </c>
      <c r="R33" s="43">
        <f t="shared" si="5"/>
        <v>33</v>
      </c>
      <c r="S33" s="43">
        <f t="shared" si="7"/>
        <v>0</v>
      </c>
      <c r="T33" s="43">
        <f t="shared" si="6"/>
        <v>1495.6</v>
      </c>
      <c r="U33" s="24">
        <f>T33-'[1]2018-без налогов'!$AY29</f>
        <v>0</v>
      </c>
    </row>
    <row r="34" spans="1:21" s="24" customFormat="1" ht="15.75">
      <c r="A34" s="30">
        <v>27</v>
      </c>
      <c r="B34" s="22" t="s">
        <v>30</v>
      </c>
      <c r="C34" s="88">
        <v>34935</v>
      </c>
      <c r="D34" s="65"/>
      <c r="E34" s="65"/>
      <c r="F34" s="66"/>
      <c r="G34" s="38">
        <v>5823</v>
      </c>
      <c r="H34" s="84">
        <f t="shared" si="0"/>
        <v>5.999</v>
      </c>
      <c r="I34" s="29">
        <f t="shared" si="1"/>
        <v>0</v>
      </c>
      <c r="J34" s="29">
        <f t="shared" si="2"/>
        <v>0</v>
      </c>
      <c r="K34" s="29">
        <f t="shared" si="3"/>
        <v>0</v>
      </c>
      <c r="L34" s="67">
        <v>20</v>
      </c>
      <c r="M34" s="67"/>
      <c r="N34" s="67"/>
      <c r="O34" s="38">
        <v>5823</v>
      </c>
      <c r="P34" s="84">
        <f t="shared" si="4"/>
        <v>5.999</v>
      </c>
      <c r="Q34" s="43">
        <f>ROUND((L34)*O34/1000*P34,1)+0.1</f>
        <v>698.7</v>
      </c>
      <c r="R34" s="43">
        <f t="shared" si="5"/>
        <v>0</v>
      </c>
      <c r="S34" s="43">
        <f t="shared" si="7"/>
        <v>0</v>
      </c>
      <c r="T34" s="43">
        <f t="shared" si="6"/>
        <v>698.7</v>
      </c>
      <c r="U34" s="24">
        <f>T34-'[1]2018-без налогов'!$AY30</f>
        <v>0</v>
      </c>
    </row>
    <row r="35" spans="1:21" s="24" customFormat="1" ht="15.75">
      <c r="A35" s="31">
        <v>28</v>
      </c>
      <c r="B35" s="22" t="s">
        <v>31</v>
      </c>
      <c r="C35" s="88">
        <v>29089</v>
      </c>
      <c r="D35" s="65"/>
      <c r="E35" s="65"/>
      <c r="F35" s="66"/>
      <c r="G35" s="38">
        <v>5823</v>
      </c>
      <c r="H35" s="84">
        <f t="shared" si="0"/>
        <v>4.996</v>
      </c>
      <c r="I35" s="29">
        <f t="shared" si="1"/>
        <v>0</v>
      </c>
      <c r="J35" s="29">
        <f t="shared" si="2"/>
        <v>0</v>
      </c>
      <c r="K35" s="29">
        <f t="shared" si="3"/>
        <v>0</v>
      </c>
      <c r="L35" s="67">
        <v>18</v>
      </c>
      <c r="M35" s="67"/>
      <c r="N35" s="67"/>
      <c r="O35" s="38">
        <v>5823</v>
      </c>
      <c r="P35" s="84">
        <f t="shared" si="4"/>
        <v>4.996</v>
      </c>
      <c r="Q35" s="43">
        <f>ROUND((L35)*O35/1000*P35,1)-0.1</f>
        <v>523.6</v>
      </c>
      <c r="R35" s="43">
        <f t="shared" si="5"/>
        <v>0</v>
      </c>
      <c r="S35" s="43">
        <f t="shared" si="7"/>
        <v>0</v>
      </c>
      <c r="T35" s="43">
        <f t="shared" si="6"/>
        <v>523.6</v>
      </c>
      <c r="U35" s="24">
        <f>T35-'[1]2018-без налогов'!$AY31</f>
        <v>0</v>
      </c>
    </row>
    <row r="36" spans="1:21" s="24" customFormat="1" ht="15.75">
      <c r="A36" s="30">
        <v>29</v>
      </c>
      <c r="B36" s="22" t="s">
        <v>21</v>
      </c>
      <c r="C36" s="88">
        <v>9887</v>
      </c>
      <c r="D36" s="65"/>
      <c r="E36" s="65"/>
      <c r="F36" s="66"/>
      <c r="G36" s="38">
        <v>5823</v>
      </c>
      <c r="H36" s="84">
        <f t="shared" si="0"/>
        <v>1.698</v>
      </c>
      <c r="I36" s="29">
        <f t="shared" si="1"/>
        <v>0</v>
      </c>
      <c r="J36" s="29">
        <f t="shared" si="2"/>
        <v>0</v>
      </c>
      <c r="K36" s="29">
        <f t="shared" si="3"/>
        <v>0</v>
      </c>
      <c r="L36" s="67">
        <v>62</v>
      </c>
      <c r="M36" s="67"/>
      <c r="N36" s="67"/>
      <c r="O36" s="38">
        <v>5823</v>
      </c>
      <c r="P36" s="84">
        <f t="shared" si="4"/>
        <v>1.698</v>
      </c>
      <c r="Q36" s="43">
        <f t="shared" si="8"/>
        <v>613</v>
      </c>
      <c r="R36" s="43">
        <f t="shared" si="5"/>
        <v>0</v>
      </c>
      <c r="S36" s="43">
        <f t="shared" si="7"/>
        <v>0</v>
      </c>
      <c r="T36" s="43">
        <f t="shared" si="6"/>
        <v>613</v>
      </c>
      <c r="U36" s="24">
        <f>T36-'[1]2018-без налогов'!$AY32</f>
        <v>0</v>
      </c>
    </row>
    <row r="37" spans="1:21" s="24" customFormat="1" ht="15.75">
      <c r="A37" s="31">
        <v>30</v>
      </c>
      <c r="B37" s="22" t="s">
        <v>32</v>
      </c>
      <c r="C37" s="89">
        <v>62575</v>
      </c>
      <c r="D37" s="69"/>
      <c r="E37" s="69"/>
      <c r="F37" s="70"/>
      <c r="G37" s="38">
        <v>5823</v>
      </c>
      <c r="H37" s="84">
        <f t="shared" si="0"/>
        <v>10.746</v>
      </c>
      <c r="I37" s="29">
        <f t="shared" si="1"/>
        <v>0</v>
      </c>
      <c r="J37" s="29">
        <f t="shared" si="2"/>
        <v>0</v>
      </c>
      <c r="K37" s="29">
        <f t="shared" si="3"/>
        <v>0</v>
      </c>
      <c r="L37" s="67">
        <v>12</v>
      </c>
      <c r="M37" s="67"/>
      <c r="N37" s="67"/>
      <c r="O37" s="38">
        <v>5823</v>
      </c>
      <c r="P37" s="84">
        <f t="shared" si="4"/>
        <v>10.746</v>
      </c>
      <c r="Q37" s="43">
        <f t="shared" si="8"/>
        <v>750.9</v>
      </c>
      <c r="R37" s="43">
        <f t="shared" si="5"/>
        <v>0</v>
      </c>
      <c r="S37" s="43">
        <f t="shared" si="7"/>
        <v>0</v>
      </c>
      <c r="T37" s="43">
        <f t="shared" si="6"/>
        <v>750.9</v>
      </c>
      <c r="U37" s="24">
        <f>T37-'[1]2018-без налогов'!$AY33</f>
        <v>0</v>
      </c>
    </row>
    <row r="38" spans="1:21" s="24" customFormat="1" ht="17.25" customHeight="1">
      <c r="A38" s="30">
        <v>31</v>
      </c>
      <c r="B38" s="22" t="s">
        <v>33</v>
      </c>
      <c r="C38" s="89">
        <v>24332</v>
      </c>
      <c r="D38" s="69"/>
      <c r="E38" s="69"/>
      <c r="F38" s="70"/>
      <c r="G38" s="38">
        <v>5823</v>
      </c>
      <c r="H38" s="84">
        <f t="shared" si="0"/>
        <v>4.179</v>
      </c>
      <c r="I38" s="29">
        <f t="shared" si="1"/>
        <v>0</v>
      </c>
      <c r="J38" s="29">
        <f t="shared" si="2"/>
        <v>0</v>
      </c>
      <c r="K38" s="29">
        <f t="shared" si="3"/>
        <v>0</v>
      </c>
      <c r="L38" s="67">
        <v>28</v>
      </c>
      <c r="M38" s="67">
        <v>3</v>
      </c>
      <c r="N38" s="67"/>
      <c r="O38" s="38">
        <v>5823</v>
      </c>
      <c r="P38" s="84">
        <f t="shared" si="4"/>
        <v>4.179</v>
      </c>
      <c r="Q38" s="43">
        <f>ROUND((L38)*O38/1000*P38,1)-0.1</f>
        <v>681.3</v>
      </c>
      <c r="R38" s="43">
        <f t="shared" si="5"/>
        <v>73</v>
      </c>
      <c r="S38" s="43">
        <f t="shared" si="7"/>
        <v>0</v>
      </c>
      <c r="T38" s="43">
        <f t="shared" si="6"/>
        <v>754.3</v>
      </c>
      <c r="U38" s="24">
        <f>T38-'[1]2018-без налогов'!$AY34</f>
        <v>0</v>
      </c>
    </row>
    <row r="39" spans="1:21" s="24" customFormat="1" ht="15.75">
      <c r="A39" s="31">
        <v>32</v>
      </c>
      <c r="B39" s="22" t="s">
        <v>34</v>
      </c>
      <c r="C39" s="88">
        <v>5823</v>
      </c>
      <c r="D39" s="65"/>
      <c r="E39" s="65"/>
      <c r="F39" s="66"/>
      <c r="G39" s="38">
        <v>5823</v>
      </c>
      <c r="H39" s="84">
        <f t="shared" si="0"/>
        <v>1</v>
      </c>
      <c r="I39" s="29">
        <f t="shared" si="1"/>
        <v>0</v>
      </c>
      <c r="J39" s="29">
        <f t="shared" si="2"/>
        <v>0</v>
      </c>
      <c r="K39" s="29">
        <f t="shared" si="3"/>
        <v>0</v>
      </c>
      <c r="L39" s="67">
        <v>26</v>
      </c>
      <c r="M39" s="67"/>
      <c r="N39" s="67"/>
      <c r="O39" s="38">
        <v>5823</v>
      </c>
      <c r="P39" s="84">
        <f t="shared" si="4"/>
        <v>1</v>
      </c>
      <c r="Q39" s="43">
        <f t="shared" si="8"/>
        <v>151.4</v>
      </c>
      <c r="R39" s="43">
        <f t="shared" si="5"/>
        <v>0</v>
      </c>
      <c r="S39" s="43">
        <f t="shared" si="7"/>
        <v>0</v>
      </c>
      <c r="T39" s="43">
        <f t="shared" si="6"/>
        <v>151.4</v>
      </c>
      <c r="U39" s="24">
        <f>T39-'[1]2018-без налогов'!$AY35</f>
        <v>0</v>
      </c>
    </row>
    <row r="40" spans="1:21" s="24" customFormat="1" ht="15.75">
      <c r="A40" s="30">
        <v>33</v>
      </c>
      <c r="B40" s="22" t="s">
        <v>35</v>
      </c>
      <c r="C40" s="88">
        <v>30003</v>
      </c>
      <c r="D40" s="65"/>
      <c r="E40" s="65"/>
      <c r="F40" s="66"/>
      <c r="G40" s="38">
        <v>5823</v>
      </c>
      <c r="H40" s="84">
        <f t="shared" si="0"/>
        <v>5.152</v>
      </c>
      <c r="I40" s="29">
        <f t="shared" si="1"/>
        <v>0</v>
      </c>
      <c r="J40" s="29">
        <f t="shared" si="2"/>
        <v>0</v>
      </c>
      <c r="K40" s="29">
        <f t="shared" si="3"/>
        <v>0</v>
      </c>
      <c r="L40" s="67">
        <v>32</v>
      </c>
      <c r="M40" s="67"/>
      <c r="N40" s="67">
        <v>2</v>
      </c>
      <c r="O40" s="38">
        <v>5823</v>
      </c>
      <c r="P40" s="84">
        <f t="shared" si="4"/>
        <v>5.152</v>
      </c>
      <c r="Q40" s="43">
        <f>ROUND((L40)*O40/1000*P40,1)+0.1</f>
        <v>960.1</v>
      </c>
      <c r="R40" s="43">
        <f t="shared" si="5"/>
        <v>0</v>
      </c>
      <c r="S40" s="43">
        <f t="shared" si="7"/>
        <v>60</v>
      </c>
      <c r="T40" s="43">
        <f t="shared" si="6"/>
        <v>1020.1</v>
      </c>
      <c r="U40" s="24">
        <f>T40-'[1]2018-без налогов'!$AY36</f>
        <v>0</v>
      </c>
    </row>
    <row r="41" spans="1:21" s="26" customFormat="1" ht="16.5" customHeight="1">
      <c r="A41" s="33">
        <v>34</v>
      </c>
      <c r="B41" s="25" t="s">
        <v>36</v>
      </c>
      <c r="C41" s="92">
        <v>19723</v>
      </c>
      <c r="D41" s="76"/>
      <c r="E41" s="65"/>
      <c r="F41" s="66"/>
      <c r="G41" s="38">
        <v>5823</v>
      </c>
      <c r="H41" s="84">
        <f t="shared" si="0"/>
        <v>3.387</v>
      </c>
      <c r="I41" s="29">
        <f t="shared" si="1"/>
        <v>0</v>
      </c>
      <c r="J41" s="29">
        <f t="shared" si="2"/>
        <v>0</v>
      </c>
      <c r="K41" s="29">
        <f t="shared" si="3"/>
        <v>0</v>
      </c>
      <c r="L41" s="67">
        <v>22</v>
      </c>
      <c r="M41" s="67"/>
      <c r="N41" s="67"/>
      <c r="O41" s="38">
        <v>5823</v>
      </c>
      <c r="P41" s="84">
        <f t="shared" si="4"/>
        <v>3.387</v>
      </c>
      <c r="Q41" s="43">
        <f t="shared" si="8"/>
        <v>433.9</v>
      </c>
      <c r="R41" s="43">
        <f t="shared" si="5"/>
        <v>0</v>
      </c>
      <c r="S41" s="43">
        <f t="shared" si="7"/>
        <v>0</v>
      </c>
      <c r="T41" s="43">
        <f t="shared" si="6"/>
        <v>433.9</v>
      </c>
      <c r="U41" s="24">
        <f>T41-'[1]2018-без налогов'!$AY37</f>
        <v>0</v>
      </c>
    </row>
    <row r="42" spans="1:21" s="26" customFormat="1" ht="15" customHeight="1">
      <c r="A42" s="32">
        <v>35</v>
      </c>
      <c r="B42" s="25" t="s">
        <v>37</v>
      </c>
      <c r="C42" s="92">
        <v>22176</v>
      </c>
      <c r="D42" s="76"/>
      <c r="E42" s="65"/>
      <c r="F42" s="66"/>
      <c r="G42" s="38">
        <v>5823</v>
      </c>
      <c r="H42" s="84">
        <f t="shared" si="0"/>
        <v>3.808</v>
      </c>
      <c r="I42" s="29">
        <f t="shared" si="1"/>
        <v>0</v>
      </c>
      <c r="J42" s="29">
        <f t="shared" si="2"/>
        <v>0</v>
      </c>
      <c r="K42" s="29">
        <f t="shared" si="3"/>
        <v>0</v>
      </c>
      <c r="L42" s="67">
        <v>34</v>
      </c>
      <c r="M42" s="67"/>
      <c r="N42" s="67"/>
      <c r="O42" s="38">
        <v>5823</v>
      </c>
      <c r="P42" s="84">
        <f t="shared" si="4"/>
        <v>3.808</v>
      </c>
      <c r="Q42" s="43">
        <f>ROUND((L42)*O42/1000*P42,1)+0.1</f>
        <v>754</v>
      </c>
      <c r="R42" s="43">
        <f t="shared" si="5"/>
        <v>0</v>
      </c>
      <c r="S42" s="43">
        <f t="shared" si="7"/>
        <v>0</v>
      </c>
      <c r="T42" s="43">
        <f t="shared" si="6"/>
        <v>754</v>
      </c>
      <c r="U42" s="24">
        <f>T42-'[1]2018-без налогов'!$AY38</f>
        <v>0</v>
      </c>
    </row>
    <row r="43" spans="1:21" s="24" customFormat="1" ht="15.75" customHeight="1">
      <c r="A43" s="31">
        <v>36</v>
      </c>
      <c r="B43" s="22" t="s">
        <v>38</v>
      </c>
      <c r="C43" s="88">
        <v>17502</v>
      </c>
      <c r="D43" s="65"/>
      <c r="E43" s="65"/>
      <c r="F43" s="66"/>
      <c r="G43" s="38">
        <v>5823</v>
      </c>
      <c r="H43" s="84">
        <f t="shared" si="0"/>
        <v>3.006</v>
      </c>
      <c r="I43" s="29">
        <f t="shared" si="1"/>
        <v>0</v>
      </c>
      <c r="J43" s="29">
        <f t="shared" si="2"/>
        <v>0</v>
      </c>
      <c r="K43" s="29">
        <f t="shared" si="3"/>
        <v>0</v>
      </c>
      <c r="L43" s="67">
        <v>63</v>
      </c>
      <c r="M43" s="67"/>
      <c r="N43" s="67"/>
      <c r="O43" s="38">
        <v>5823</v>
      </c>
      <c r="P43" s="84">
        <f t="shared" si="4"/>
        <v>3.006</v>
      </c>
      <c r="Q43" s="43">
        <f>ROUND((L43)*O43/1000*P43,1)-0.1</f>
        <v>1102.6000000000001</v>
      </c>
      <c r="R43" s="43">
        <f t="shared" si="5"/>
        <v>0</v>
      </c>
      <c r="S43" s="43">
        <f t="shared" si="7"/>
        <v>0</v>
      </c>
      <c r="T43" s="43">
        <f t="shared" si="6"/>
        <v>1102.6000000000001</v>
      </c>
      <c r="U43" s="24">
        <f>T43-'[1]2018-без налогов'!$AY39</f>
        <v>0</v>
      </c>
    </row>
    <row r="44" spans="1:21" s="24" customFormat="1" ht="15.75">
      <c r="A44" s="30">
        <v>37</v>
      </c>
      <c r="B44" s="22" t="s">
        <v>39</v>
      </c>
      <c r="C44" s="88">
        <v>57117</v>
      </c>
      <c r="D44" s="65"/>
      <c r="E44" s="65"/>
      <c r="F44" s="66"/>
      <c r="G44" s="38">
        <v>5823</v>
      </c>
      <c r="H44" s="84">
        <f t="shared" si="0"/>
        <v>9.809</v>
      </c>
      <c r="I44" s="29">
        <f t="shared" si="1"/>
        <v>0</v>
      </c>
      <c r="J44" s="29">
        <f t="shared" si="2"/>
        <v>0</v>
      </c>
      <c r="K44" s="29">
        <f t="shared" si="3"/>
        <v>0</v>
      </c>
      <c r="L44" s="67">
        <v>12</v>
      </c>
      <c r="M44" s="67"/>
      <c r="N44" s="67"/>
      <c r="O44" s="38">
        <v>5823</v>
      </c>
      <c r="P44" s="84">
        <f t="shared" si="4"/>
        <v>9.809</v>
      </c>
      <c r="Q44" s="43">
        <f t="shared" si="8"/>
        <v>685.4</v>
      </c>
      <c r="R44" s="43">
        <f t="shared" si="5"/>
        <v>0</v>
      </c>
      <c r="S44" s="43">
        <f t="shared" si="7"/>
        <v>0</v>
      </c>
      <c r="T44" s="43">
        <f t="shared" si="6"/>
        <v>685.4</v>
      </c>
      <c r="U44" s="24">
        <f>T44-'[1]2018-без налогов'!$AY40</f>
        <v>0</v>
      </c>
    </row>
    <row r="45" spans="1:21" s="24" customFormat="1" ht="15.75">
      <c r="A45" s="31">
        <v>38</v>
      </c>
      <c r="B45" s="22" t="s">
        <v>22</v>
      </c>
      <c r="C45" s="81">
        <v>18538</v>
      </c>
      <c r="D45" s="81"/>
      <c r="E45" s="81"/>
      <c r="F45" s="81"/>
      <c r="G45" s="38">
        <v>5823</v>
      </c>
      <c r="H45" s="84">
        <f t="shared" si="0"/>
        <v>3.184</v>
      </c>
      <c r="I45" s="29">
        <f t="shared" si="1"/>
        <v>0</v>
      </c>
      <c r="J45" s="29">
        <f t="shared" si="2"/>
        <v>0</v>
      </c>
      <c r="K45" s="29">
        <f t="shared" si="3"/>
        <v>0</v>
      </c>
      <c r="L45" s="81">
        <v>40</v>
      </c>
      <c r="M45" s="81"/>
      <c r="N45" s="81"/>
      <c r="O45" s="38">
        <v>5823</v>
      </c>
      <c r="P45" s="84">
        <f t="shared" si="4"/>
        <v>3.184</v>
      </c>
      <c r="Q45" s="43">
        <f>ROUND((L45)*O45/1000*P45,1)-0.1</f>
        <v>741.5</v>
      </c>
      <c r="R45" s="43">
        <f t="shared" si="5"/>
        <v>0</v>
      </c>
      <c r="S45" s="43">
        <f t="shared" si="7"/>
        <v>0</v>
      </c>
      <c r="T45" s="43">
        <f t="shared" si="6"/>
        <v>741.5</v>
      </c>
      <c r="U45" s="24">
        <f>T45-'[1]2018-без налогов'!$AY41</f>
        <v>0</v>
      </c>
    </row>
    <row r="46" spans="1:21" s="24" customFormat="1" ht="15.75">
      <c r="A46" s="30">
        <v>39</v>
      </c>
      <c r="B46" s="22" t="s">
        <v>40</v>
      </c>
      <c r="C46" s="88">
        <v>34641</v>
      </c>
      <c r="D46" s="65"/>
      <c r="E46" s="65"/>
      <c r="F46" s="66"/>
      <c r="G46" s="38">
        <v>5823</v>
      </c>
      <c r="H46" s="84">
        <f t="shared" si="0"/>
        <v>5.949</v>
      </c>
      <c r="I46" s="29">
        <f t="shared" si="1"/>
        <v>0</v>
      </c>
      <c r="J46" s="29">
        <f t="shared" si="2"/>
        <v>0</v>
      </c>
      <c r="K46" s="29">
        <f t="shared" si="3"/>
        <v>0</v>
      </c>
      <c r="L46" s="67">
        <v>22</v>
      </c>
      <c r="M46" s="67"/>
      <c r="N46" s="67"/>
      <c r="O46" s="38">
        <v>5823</v>
      </c>
      <c r="P46" s="84">
        <f t="shared" si="4"/>
        <v>5.949</v>
      </c>
      <c r="Q46" s="43">
        <f t="shared" si="8"/>
        <v>762.1</v>
      </c>
      <c r="R46" s="43">
        <f t="shared" si="5"/>
        <v>0</v>
      </c>
      <c r="S46" s="43">
        <f t="shared" si="7"/>
        <v>0</v>
      </c>
      <c r="T46" s="43">
        <f t="shared" si="6"/>
        <v>762.1</v>
      </c>
      <c r="U46" s="24">
        <f>T46-'[1]2018-без налогов'!$AY42</f>
        <v>0</v>
      </c>
    </row>
    <row r="47" spans="1:21" s="24" customFormat="1" ht="15.75">
      <c r="A47" s="31">
        <v>40</v>
      </c>
      <c r="B47" s="22" t="s">
        <v>41</v>
      </c>
      <c r="C47" s="88">
        <v>92671</v>
      </c>
      <c r="D47" s="65"/>
      <c r="E47" s="65"/>
      <c r="F47" s="66"/>
      <c r="G47" s="38">
        <v>5823</v>
      </c>
      <c r="H47" s="84">
        <f t="shared" si="0"/>
        <v>15.915</v>
      </c>
      <c r="I47" s="29">
        <f t="shared" si="1"/>
        <v>0</v>
      </c>
      <c r="J47" s="29">
        <f t="shared" si="2"/>
        <v>0</v>
      </c>
      <c r="K47" s="29">
        <f t="shared" si="3"/>
        <v>0</v>
      </c>
      <c r="L47" s="67">
        <v>7</v>
      </c>
      <c r="M47" s="67"/>
      <c r="N47" s="67"/>
      <c r="O47" s="38">
        <v>5823</v>
      </c>
      <c r="P47" s="84">
        <f t="shared" si="4"/>
        <v>15.915</v>
      </c>
      <c r="Q47" s="43">
        <f t="shared" si="8"/>
        <v>648.7</v>
      </c>
      <c r="R47" s="43">
        <f t="shared" si="5"/>
        <v>0</v>
      </c>
      <c r="S47" s="43">
        <f t="shared" si="7"/>
        <v>0</v>
      </c>
      <c r="T47" s="43">
        <f t="shared" si="6"/>
        <v>648.7</v>
      </c>
      <c r="U47" s="24">
        <f>T47-'[1]2018-без налогов'!$AY43</f>
        <v>0</v>
      </c>
    </row>
    <row r="48" spans="1:21" s="24" customFormat="1" ht="15.75">
      <c r="A48" s="30">
        <v>41</v>
      </c>
      <c r="B48" s="22" t="s">
        <v>42</v>
      </c>
      <c r="C48" s="88">
        <v>41353</v>
      </c>
      <c r="D48" s="65"/>
      <c r="E48" s="65"/>
      <c r="F48" s="66"/>
      <c r="G48" s="38">
        <v>5823</v>
      </c>
      <c r="H48" s="84">
        <f t="shared" si="0"/>
        <v>7.102</v>
      </c>
      <c r="I48" s="29">
        <f t="shared" si="1"/>
        <v>0</v>
      </c>
      <c r="J48" s="29">
        <f t="shared" si="2"/>
        <v>0</v>
      </c>
      <c r="K48" s="29">
        <f t="shared" si="3"/>
        <v>0</v>
      </c>
      <c r="L48" s="67">
        <v>15</v>
      </c>
      <c r="M48" s="67"/>
      <c r="N48" s="67"/>
      <c r="O48" s="38">
        <v>5823</v>
      </c>
      <c r="P48" s="84">
        <f t="shared" si="4"/>
        <v>7.102</v>
      </c>
      <c r="Q48" s="43">
        <f t="shared" si="8"/>
        <v>620.3</v>
      </c>
      <c r="R48" s="43">
        <f t="shared" si="5"/>
        <v>0</v>
      </c>
      <c r="S48" s="43">
        <f t="shared" si="7"/>
        <v>0</v>
      </c>
      <c r="T48" s="43">
        <f t="shared" si="6"/>
        <v>620.3</v>
      </c>
      <c r="U48" s="24">
        <f>T48-'[1]2018-без налогов'!$AY44</f>
        <v>0</v>
      </c>
    </row>
    <row r="49" spans="1:20" s="24" customFormat="1" ht="15.75">
      <c r="A49" s="31">
        <v>42</v>
      </c>
      <c r="B49" s="22" t="s">
        <v>23</v>
      </c>
      <c r="C49" s="88"/>
      <c r="D49" s="65"/>
      <c r="E49" s="65"/>
      <c r="F49" s="66"/>
      <c r="G49" s="38">
        <v>5823</v>
      </c>
      <c r="H49" s="84">
        <f t="shared" si="0"/>
        <v>0</v>
      </c>
      <c r="I49" s="29">
        <f t="shared" si="1"/>
        <v>0</v>
      </c>
      <c r="J49" s="29">
        <f t="shared" si="2"/>
        <v>0</v>
      </c>
      <c r="K49" s="29">
        <f t="shared" si="3"/>
        <v>0</v>
      </c>
      <c r="L49" s="67"/>
      <c r="M49" s="67"/>
      <c r="N49" s="67"/>
      <c r="O49" s="38">
        <v>5823</v>
      </c>
      <c r="P49" s="84">
        <f t="shared" si="4"/>
        <v>0</v>
      </c>
      <c r="Q49" s="43">
        <f t="shared" si="8"/>
        <v>0</v>
      </c>
      <c r="R49" s="43">
        <f t="shared" si="5"/>
        <v>0</v>
      </c>
      <c r="S49" s="43">
        <f t="shared" si="7"/>
        <v>0</v>
      </c>
      <c r="T49" s="43">
        <f t="shared" si="6"/>
        <v>0</v>
      </c>
    </row>
    <row r="50" spans="1:21" s="24" customFormat="1" ht="15.75">
      <c r="A50" s="30">
        <v>43</v>
      </c>
      <c r="B50" s="22" t="s">
        <v>43</v>
      </c>
      <c r="C50" s="88">
        <v>23714</v>
      </c>
      <c r="D50" s="65"/>
      <c r="E50" s="65"/>
      <c r="F50" s="66"/>
      <c r="G50" s="38">
        <v>5823</v>
      </c>
      <c r="H50" s="84">
        <f t="shared" si="0"/>
        <v>4.072</v>
      </c>
      <c r="I50" s="29">
        <f t="shared" si="1"/>
        <v>0</v>
      </c>
      <c r="J50" s="29">
        <f t="shared" si="2"/>
        <v>0</v>
      </c>
      <c r="K50" s="29">
        <f t="shared" si="3"/>
        <v>0</v>
      </c>
      <c r="L50" s="67">
        <v>21</v>
      </c>
      <c r="M50" s="67"/>
      <c r="N50" s="67"/>
      <c r="O50" s="38">
        <v>5823</v>
      </c>
      <c r="P50" s="84">
        <f t="shared" si="4"/>
        <v>4.072</v>
      </c>
      <c r="Q50" s="43">
        <f>ROUND((L50)*O50/1000*P50,1)+0.1</f>
        <v>498</v>
      </c>
      <c r="R50" s="43">
        <f t="shared" si="5"/>
        <v>0</v>
      </c>
      <c r="S50" s="43">
        <f t="shared" si="7"/>
        <v>0</v>
      </c>
      <c r="T50" s="43">
        <f t="shared" si="6"/>
        <v>498</v>
      </c>
      <c r="U50" s="24">
        <f>T50-'[1]2018-без налогов'!$AY45</f>
        <v>0</v>
      </c>
    </row>
    <row r="51" spans="1:21" s="24" customFormat="1" ht="34.5" customHeight="1">
      <c r="A51" s="31">
        <v>44</v>
      </c>
      <c r="B51" s="25" t="s">
        <v>44</v>
      </c>
      <c r="C51" s="92">
        <v>34256</v>
      </c>
      <c r="D51" s="76"/>
      <c r="E51" s="65"/>
      <c r="F51" s="66"/>
      <c r="G51" s="38">
        <v>5823</v>
      </c>
      <c r="H51" s="84">
        <f t="shared" si="0"/>
        <v>5.883</v>
      </c>
      <c r="I51" s="29">
        <f t="shared" si="1"/>
        <v>0</v>
      </c>
      <c r="J51" s="29">
        <f t="shared" si="2"/>
        <v>0</v>
      </c>
      <c r="K51" s="29">
        <f t="shared" si="3"/>
        <v>0</v>
      </c>
      <c r="L51" s="81">
        <v>9</v>
      </c>
      <c r="M51" s="67"/>
      <c r="N51" s="67"/>
      <c r="O51" s="38">
        <v>5823</v>
      </c>
      <c r="P51" s="84">
        <f t="shared" si="4"/>
        <v>5.883</v>
      </c>
      <c r="Q51" s="43">
        <f t="shared" si="8"/>
        <v>308.3</v>
      </c>
      <c r="R51" s="43">
        <f t="shared" si="5"/>
        <v>0</v>
      </c>
      <c r="S51" s="43">
        <f t="shared" si="7"/>
        <v>0</v>
      </c>
      <c r="T51" s="43">
        <f t="shared" si="6"/>
        <v>308.3</v>
      </c>
      <c r="U51" s="24">
        <f>T51-'[1]2018-без налогов'!$AY46</f>
        <v>0</v>
      </c>
    </row>
    <row r="52" spans="1:21" s="26" customFormat="1" ht="31.5">
      <c r="A52" s="33">
        <v>45</v>
      </c>
      <c r="B52" s="25" t="s">
        <v>45</v>
      </c>
      <c r="C52" s="92">
        <v>26447</v>
      </c>
      <c r="D52" s="76"/>
      <c r="E52" s="76"/>
      <c r="F52" s="77"/>
      <c r="G52" s="38">
        <v>5823</v>
      </c>
      <c r="H52" s="84">
        <f t="shared" si="0"/>
        <v>4.542</v>
      </c>
      <c r="I52" s="29">
        <f t="shared" si="1"/>
        <v>0</v>
      </c>
      <c r="J52" s="29">
        <f t="shared" si="2"/>
        <v>0</v>
      </c>
      <c r="K52" s="29">
        <f t="shared" si="3"/>
        <v>0</v>
      </c>
      <c r="L52" s="81">
        <v>17</v>
      </c>
      <c r="M52" s="67"/>
      <c r="N52" s="67"/>
      <c r="O52" s="38">
        <v>5823</v>
      </c>
      <c r="P52" s="84">
        <f t="shared" si="4"/>
        <v>4.542</v>
      </c>
      <c r="Q52" s="43">
        <f t="shared" si="8"/>
        <v>449.6</v>
      </c>
      <c r="R52" s="43">
        <f t="shared" si="5"/>
        <v>0</v>
      </c>
      <c r="S52" s="43">
        <f t="shared" si="7"/>
        <v>0</v>
      </c>
      <c r="T52" s="43">
        <f t="shared" si="6"/>
        <v>449.6</v>
      </c>
      <c r="U52" s="24">
        <f>T52-'[1]2018-без налогов'!$AY47</f>
        <v>0</v>
      </c>
    </row>
    <row r="53" spans="1:20" s="52" customFormat="1" ht="33" customHeight="1">
      <c r="A53" s="151"/>
      <c r="B53" s="152" t="s">
        <v>74</v>
      </c>
      <c r="C53" s="152"/>
      <c r="D53" s="125">
        <f>SUM(D8:D52)</f>
        <v>402</v>
      </c>
      <c r="E53" s="125">
        <f>SUM(E8:E52)</f>
        <v>3</v>
      </c>
      <c r="F53" s="125">
        <f>SUM(F8:F52)</f>
        <v>0</v>
      </c>
      <c r="G53" s="125"/>
      <c r="H53" s="122"/>
      <c r="I53" s="166"/>
      <c r="J53" s="166"/>
      <c r="K53" s="166"/>
      <c r="L53" s="125">
        <f>SUM(L8:L52)</f>
        <v>3073</v>
      </c>
      <c r="M53" s="125">
        <f>SUM(M8:M52)</f>
        <v>31</v>
      </c>
      <c r="N53" s="125">
        <f>SUM(N8:N52)</f>
        <v>22</v>
      </c>
      <c r="O53" s="125"/>
      <c r="P53" s="155"/>
      <c r="Q53" s="167">
        <f>SUM(Q8:Q52)</f>
        <v>42086.10000000001</v>
      </c>
      <c r="R53" s="167">
        <f>SUM(R8:R52)</f>
        <v>401.59999999999997</v>
      </c>
      <c r="S53" s="167">
        <f>SUM(S8:S52)</f>
        <v>314.4</v>
      </c>
      <c r="T53" s="167">
        <f>SUM(T8:T52)</f>
        <v>46992.50000000001</v>
      </c>
    </row>
    <row r="54" spans="1:20" s="140" customFormat="1" ht="15.75">
      <c r="A54" s="131"/>
      <c r="B54" s="132"/>
      <c r="C54" s="132"/>
      <c r="D54" s="168"/>
      <c r="E54" s="169"/>
      <c r="F54" s="169"/>
      <c r="G54" s="133"/>
      <c r="H54" s="157"/>
      <c r="I54" s="135"/>
      <c r="J54" s="135"/>
      <c r="K54" s="135"/>
      <c r="L54" s="168"/>
      <c r="M54" s="168"/>
      <c r="N54" s="137"/>
      <c r="O54" s="133"/>
      <c r="P54" s="160"/>
      <c r="Q54" s="170"/>
      <c r="R54" s="170"/>
      <c r="S54" s="170"/>
      <c r="T54" s="170"/>
    </row>
    <row r="55" spans="1:20" s="140" customFormat="1" ht="15.75">
      <c r="A55" s="131"/>
      <c r="B55" s="132"/>
      <c r="C55" s="132"/>
      <c r="D55" s="169"/>
      <c r="E55" s="169"/>
      <c r="F55" s="169"/>
      <c r="G55" s="133"/>
      <c r="H55" s="157"/>
      <c r="I55" s="135"/>
      <c r="J55" s="135"/>
      <c r="K55" s="135"/>
      <c r="L55" s="168"/>
      <c r="M55" s="169"/>
      <c r="N55" s="48"/>
      <c r="O55" s="133"/>
      <c r="P55" s="160"/>
      <c r="Q55" s="170"/>
      <c r="R55" s="170"/>
      <c r="S55" s="170"/>
      <c r="T55" s="170"/>
    </row>
    <row r="56" spans="1:20" s="165" customFormat="1" ht="15.75">
      <c r="A56" s="142"/>
      <c r="B56" s="143"/>
      <c r="C56" s="143"/>
      <c r="D56" s="144"/>
      <c r="E56" s="144"/>
      <c r="F56" s="144"/>
      <c r="G56" s="146"/>
      <c r="H56" s="146"/>
      <c r="I56" s="171"/>
      <c r="J56" s="171"/>
      <c r="K56" s="171"/>
      <c r="L56" s="144"/>
      <c r="M56" s="144"/>
      <c r="N56" s="144"/>
      <c r="O56" s="146"/>
      <c r="P56" s="146"/>
      <c r="Q56" s="164"/>
      <c r="R56" s="164"/>
      <c r="S56" s="164"/>
      <c r="T56" s="164"/>
    </row>
    <row r="57" spans="1:16" ht="18" customHeight="1">
      <c r="A57" s="18"/>
      <c r="B57" s="19"/>
      <c r="C57" s="19"/>
      <c r="D57" s="19"/>
      <c r="E57" s="19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15.75">
      <c r="A58" s="3"/>
      <c r="B58" s="4"/>
      <c r="C58" s="4"/>
      <c r="D58" s="4"/>
      <c r="E58" s="4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ht="15.75">
      <c r="A59" s="3"/>
      <c r="B59" s="4"/>
      <c r="C59" s="4"/>
      <c r="D59" s="4"/>
      <c r="E59" s="4"/>
      <c r="F59" s="17"/>
      <c r="G59" s="17"/>
      <c r="H59" s="17"/>
      <c r="I59" s="17"/>
      <c r="J59" s="17"/>
      <c r="K59" s="17"/>
      <c r="L59" s="5"/>
      <c r="M59" s="5"/>
      <c r="N59" s="5"/>
      <c r="O59" s="5"/>
      <c r="P59" s="5"/>
    </row>
    <row r="60" spans="1:16" ht="15.75">
      <c r="A60" s="3"/>
      <c r="B60" s="4"/>
      <c r="C60" s="4"/>
      <c r="D60" s="4"/>
      <c r="E60" s="4"/>
      <c r="F60" s="17"/>
      <c r="G60" s="17"/>
      <c r="H60" s="17"/>
      <c r="I60" s="17"/>
      <c r="J60" s="17"/>
      <c r="K60" s="17"/>
      <c r="L60" s="5"/>
      <c r="M60" s="5"/>
      <c r="N60" s="5"/>
      <c r="O60" s="5"/>
      <c r="P60" s="5"/>
    </row>
    <row r="61" spans="1:16" ht="15.75">
      <c r="A61" s="3"/>
      <c r="B61" s="4"/>
      <c r="C61" s="4"/>
      <c r="D61" s="4"/>
      <c r="E61" s="4"/>
      <c r="F61" s="17"/>
      <c r="G61" s="17"/>
      <c r="H61" s="17"/>
      <c r="I61" s="17"/>
      <c r="J61" s="17"/>
      <c r="K61" s="17"/>
      <c r="L61" s="5"/>
      <c r="M61" s="5"/>
      <c r="N61" s="5"/>
      <c r="O61" s="5"/>
      <c r="P61" s="5"/>
    </row>
    <row r="62" spans="1:16" ht="15.75">
      <c r="A62" s="3"/>
      <c r="B62" s="6"/>
      <c r="C62" s="6"/>
      <c r="D62" s="6"/>
      <c r="E62" s="6"/>
      <c r="F62" s="6"/>
      <c r="G62" s="6"/>
      <c r="H62" s="6"/>
      <c r="I62" s="6"/>
      <c r="J62" s="6"/>
      <c r="K62" s="6"/>
      <c r="L62" s="5"/>
      <c r="M62" s="5"/>
      <c r="N62" s="5"/>
      <c r="O62" s="5"/>
      <c r="P62" s="5"/>
    </row>
    <row r="63" spans="1:16" ht="15.75">
      <c r="A63" s="3"/>
      <c r="B63" s="6"/>
      <c r="C63" s="6"/>
      <c r="D63" s="6"/>
      <c r="E63" s="6"/>
      <c r="F63" s="6"/>
      <c r="G63" s="6"/>
      <c r="H63" s="6"/>
      <c r="I63" s="6"/>
      <c r="J63" s="6"/>
      <c r="K63" s="6"/>
      <c r="L63" s="5"/>
      <c r="M63" s="5"/>
      <c r="N63" s="5"/>
      <c r="O63" s="5"/>
      <c r="P63" s="5"/>
    </row>
    <row r="64" spans="1:16" ht="16.5" customHeight="1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5"/>
      <c r="M64" s="5"/>
      <c r="N64" s="5"/>
      <c r="O64" s="5"/>
      <c r="P64" s="5"/>
    </row>
    <row r="65" spans="1:16" ht="15.7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5"/>
      <c r="M65" s="5"/>
      <c r="N65" s="5"/>
      <c r="O65" s="5"/>
      <c r="P65" s="5"/>
    </row>
    <row r="66" spans="1:16" ht="15.7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5"/>
      <c r="M66" s="5"/>
      <c r="N66" s="5"/>
      <c r="O66" s="5"/>
      <c r="P66" s="5"/>
    </row>
    <row r="67" spans="1:16" ht="15.7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5"/>
      <c r="M67" s="5"/>
      <c r="N67" s="5"/>
      <c r="O67" s="5"/>
      <c r="P67" s="5"/>
    </row>
    <row r="68" spans="1:16" ht="15.7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5"/>
      <c r="M68" s="5"/>
      <c r="N68" s="5"/>
      <c r="O68" s="5"/>
      <c r="P68" s="5"/>
    </row>
    <row r="69" spans="1:16" ht="15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5"/>
      <c r="M69" s="5"/>
      <c r="N69" s="5"/>
      <c r="O69" s="5"/>
      <c r="P69" s="5"/>
    </row>
    <row r="70" spans="1:16" ht="15.75">
      <c r="A70" s="3"/>
      <c r="B70" s="7"/>
      <c r="C70" s="7"/>
      <c r="D70" s="7"/>
      <c r="E70" s="7"/>
      <c r="F70" s="7"/>
      <c r="G70" s="7"/>
      <c r="H70" s="7"/>
      <c r="I70" s="7"/>
      <c r="J70" s="7"/>
      <c r="K70" s="7"/>
      <c r="L70" s="8"/>
      <c r="M70" s="8"/>
      <c r="N70" s="8"/>
      <c r="O70" s="8"/>
      <c r="P70" s="8"/>
    </row>
    <row r="71" spans="1:16" s="9" customFormat="1" ht="16.5" customHeight="1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1:16" ht="15.75">
      <c r="A72" s="3"/>
      <c r="B72" s="6"/>
      <c r="C72" s="6"/>
      <c r="D72" s="6"/>
      <c r="E72" s="6"/>
      <c r="F72" s="6"/>
      <c r="G72" s="6"/>
      <c r="H72" s="6"/>
      <c r="I72" s="6"/>
      <c r="J72" s="6"/>
      <c r="K72" s="6"/>
      <c r="L72" s="5"/>
      <c r="M72" s="5"/>
      <c r="N72" s="5"/>
      <c r="O72" s="5"/>
      <c r="P72" s="5"/>
    </row>
    <row r="73" spans="1:16" ht="15.75">
      <c r="A73" s="3"/>
      <c r="B73" s="6"/>
      <c r="C73" s="6"/>
      <c r="D73" s="6"/>
      <c r="E73" s="6"/>
      <c r="F73" s="6"/>
      <c r="G73" s="6"/>
      <c r="H73" s="6"/>
      <c r="I73" s="6"/>
      <c r="J73" s="6"/>
      <c r="K73" s="6"/>
      <c r="L73" s="5"/>
      <c r="M73" s="5"/>
      <c r="N73" s="5"/>
      <c r="O73" s="5"/>
      <c r="P73" s="5"/>
    </row>
    <row r="74" spans="1:16" ht="15.75">
      <c r="A74" s="3"/>
      <c r="B74" s="6"/>
      <c r="C74" s="6"/>
      <c r="D74" s="6"/>
      <c r="E74" s="6"/>
      <c r="F74" s="6"/>
      <c r="G74" s="6"/>
      <c r="H74" s="6"/>
      <c r="I74" s="6"/>
      <c r="J74" s="6"/>
      <c r="K74" s="6"/>
      <c r="L74" s="5"/>
      <c r="M74" s="5"/>
      <c r="N74" s="5"/>
      <c r="O74" s="5"/>
      <c r="P74" s="5"/>
    </row>
    <row r="75" spans="1:16" ht="15.75">
      <c r="A75" s="3"/>
      <c r="B75" s="6"/>
      <c r="C75" s="6"/>
      <c r="D75" s="6"/>
      <c r="E75" s="6"/>
      <c r="F75" s="6"/>
      <c r="G75" s="6"/>
      <c r="H75" s="6"/>
      <c r="I75" s="6"/>
      <c r="J75" s="6"/>
      <c r="K75" s="6"/>
      <c r="L75" s="5"/>
      <c r="M75" s="5"/>
      <c r="N75" s="5"/>
      <c r="O75" s="5"/>
      <c r="P75" s="5"/>
    </row>
    <row r="76" spans="1:16" ht="18" customHeight="1">
      <c r="A76" s="3"/>
      <c r="B76" s="6"/>
      <c r="C76" s="6"/>
      <c r="D76" s="6"/>
      <c r="E76" s="6"/>
      <c r="F76" s="6"/>
      <c r="G76" s="6"/>
      <c r="H76" s="6"/>
      <c r="I76" s="6"/>
      <c r="J76" s="6"/>
      <c r="K76" s="6"/>
      <c r="L76" s="5"/>
      <c r="M76" s="5"/>
      <c r="N76" s="5"/>
      <c r="O76" s="5"/>
      <c r="P76" s="5"/>
    </row>
    <row r="77" spans="1:16" ht="15.75">
      <c r="A77" s="3"/>
      <c r="B77" s="6"/>
      <c r="C77" s="6"/>
      <c r="D77" s="6"/>
      <c r="E77" s="6"/>
      <c r="F77" s="6"/>
      <c r="G77" s="6"/>
      <c r="H77" s="6"/>
      <c r="I77" s="6"/>
      <c r="J77" s="6"/>
      <c r="K77" s="6"/>
      <c r="L77" s="5"/>
      <c r="M77" s="5"/>
      <c r="N77" s="5"/>
      <c r="O77" s="5"/>
      <c r="P77" s="5"/>
    </row>
    <row r="78" spans="1:16" ht="15.75">
      <c r="A78" s="3"/>
      <c r="B78" s="6"/>
      <c r="C78" s="6"/>
      <c r="D78" s="6"/>
      <c r="E78" s="6"/>
      <c r="F78" s="6"/>
      <c r="G78" s="6"/>
      <c r="H78" s="6"/>
      <c r="I78" s="6"/>
      <c r="J78" s="6"/>
      <c r="K78" s="6"/>
      <c r="L78" s="5"/>
      <c r="M78" s="5"/>
      <c r="N78" s="5"/>
      <c r="O78" s="5"/>
      <c r="P78" s="5"/>
    </row>
    <row r="79" spans="1:16" ht="15.75">
      <c r="A79" s="3"/>
      <c r="B79" s="6"/>
      <c r="C79" s="6"/>
      <c r="D79" s="6"/>
      <c r="E79" s="6"/>
      <c r="F79" s="6"/>
      <c r="G79" s="6"/>
      <c r="H79" s="6"/>
      <c r="I79" s="6"/>
      <c r="J79" s="6"/>
      <c r="K79" s="6"/>
      <c r="L79" s="5"/>
      <c r="M79" s="5"/>
      <c r="N79" s="5"/>
      <c r="O79" s="5"/>
      <c r="P79" s="5"/>
    </row>
    <row r="80" spans="1:16" ht="15.75">
      <c r="A80" s="3"/>
      <c r="B80" s="6"/>
      <c r="C80" s="6"/>
      <c r="D80" s="6"/>
      <c r="E80" s="6"/>
      <c r="F80" s="6"/>
      <c r="G80" s="6"/>
      <c r="H80" s="6"/>
      <c r="I80" s="6"/>
      <c r="J80" s="6"/>
      <c r="K80" s="6"/>
      <c r="L80" s="5"/>
      <c r="M80" s="5"/>
      <c r="N80" s="5"/>
      <c r="O80" s="5"/>
      <c r="P80" s="5"/>
    </row>
    <row r="81" spans="1:16" ht="15.75">
      <c r="A81" s="3"/>
      <c r="B81" s="6"/>
      <c r="C81" s="6"/>
      <c r="D81" s="6"/>
      <c r="E81" s="6"/>
      <c r="F81" s="6"/>
      <c r="G81" s="6"/>
      <c r="H81" s="6"/>
      <c r="I81" s="6"/>
      <c r="J81" s="6"/>
      <c r="K81" s="6"/>
      <c r="L81" s="5"/>
      <c r="M81" s="5"/>
      <c r="N81" s="5"/>
      <c r="O81" s="5"/>
      <c r="P81" s="5"/>
    </row>
    <row r="82" spans="1:16" ht="15.7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5"/>
      <c r="M82" s="5"/>
      <c r="N82" s="5"/>
      <c r="O82" s="5"/>
      <c r="P82" s="5"/>
    </row>
    <row r="83" spans="1:16" ht="15.7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5"/>
      <c r="M83" s="5"/>
      <c r="N83" s="5"/>
      <c r="O83" s="5"/>
      <c r="P83" s="5"/>
    </row>
    <row r="84" spans="1:16" ht="15.7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5"/>
      <c r="M84" s="5"/>
      <c r="N84" s="5"/>
      <c r="O84" s="5"/>
      <c r="P84" s="5"/>
    </row>
    <row r="85" spans="1:16" ht="15.7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5"/>
      <c r="M85" s="5"/>
      <c r="N85" s="5"/>
      <c r="O85" s="5"/>
      <c r="P85" s="5"/>
    </row>
    <row r="86" spans="1:16" ht="15.7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5"/>
      <c r="M86" s="5"/>
      <c r="N86" s="5"/>
      <c r="O86" s="5"/>
      <c r="P86" s="5"/>
    </row>
    <row r="87" spans="1:16" ht="15.7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5"/>
      <c r="M87" s="5"/>
      <c r="N87" s="5"/>
      <c r="O87" s="5"/>
      <c r="P87" s="5"/>
    </row>
    <row r="88" spans="1:16" ht="15.7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5"/>
      <c r="M88" s="5"/>
      <c r="N88" s="5"/>
      <c r="O88" s="5"/>
      <c r="P88" s="5"/>
    </row>
    <row r="89" spans="1:16" ht="15.7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5"/>
      <c r="M89" s="5"/>
      <c r="N89" s="5"/>
      <c r="O89" s="5"/>
      <c r="P89" s="5"/>
    </row>
    <row r="90" spans="1:16" ht="15.7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5"/>
      <c r="M90" s="5"/>
      <c r="N90" s="5"/>
      <c r="O90" s="5"/>
      <c r="P90" s="5"/>
    </row>
    <row r="91" spans="1:16" ht="15.7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5"/>
      <c r="M91" s="5"/>
      <c r="N91" s="5"/>
      <c r="O91" s="5"/>
      <c r="P91" s="5"/>
    </row>
    <row r="92" spans="1:16" ht="15.7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5"/>
      <c r="M92" s="5"/>
      <c r="N92" s="5"/>
      <c r="O92" s="5"/>
      <c r="P92" s="5"/>
    </row>
    <row r="93" spans="1:16" ht="15.7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5"/>
      <c r="M93" s="5"/>
      <c r="N93" s="5"/>
      <c r="O93" s="5"/>
      <c r="P93" s="5"/>
    </row>
    <row r="94" spans="1:16" ht="15.7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5"/>
      <c r="M94" s="5"/>
      <c r="N94" s="5"/>
      <c r="O94" s="5"/>
      <c r="P94" s="5"/>
    </row>
    <row r="95" spans="1:16" ht="15.7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5"/>
      <c r="M95" s="5"/>
      <c r="N95" s="5"/>
      <c r="O95" s="5"/>
      <c r="P95" s="5"/>
    </row>
    <row r="96" spans="1:16" ht="15.7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5"/>
      <c r="M96" s="5"/>
      <c r="N96" s="5"/>
      <c r="O96" s="5"/>
      <c r="P96" s="5"/>
    </row>
    <row r="97" spans="1:16" ht="15.7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5"/>
      <c r="M97" s="5"/>
      <c r="N97" s="5"/>
      <c r="O97" s="5"/>
      <c r="P97" s="5"/>
    </row>
    <row r="98" spans="1:16" ht="15.7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5"/>
      <c r="M98" s="5"/>
      <c r="N98" s="5"/>
      <c r="O98" s="5"/>
      <c r="P98" s="5"/>
    </row>
    <row r="99" spans="1:16" ht="15.7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5"/>
      <c r="M99" s="5"/>
      <c r="N99" s="5"/>
      <c r="O99" s="5"/>
      <c r="P99" s="5"/>
    </row>
    <row r="100" spans="1:16" ht="15.7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5"/>
      <c r="M100" s="5"/>
      <c r="N100" s="5"/>
      <c r="O100" s="5"/>
      <c r="P100" s="5"/>
    </row>
    <row r="101" spans="1:16" ht="15.7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5"/>
      <c r="M101" s="5"/>
      <c r="N101" s="5"/>
      <c r="O101" s="5"/>
      <c r="P101" s="5"/>
    </row>
    <row r="102" spans="1:16" ht="15.7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5"/>
      <c r="M102" s="5"/>
      <c r="N102" s="5"/>
      <c r="O102" s="5"/>
      <c r="P102" s="5"/>
    </row>
    <row r="103" spans="1:16" ht="15.7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5"/>
      <c r="M103" s="5"/>
      <c r="N103" s="5"/>
      <c r="O103" s="5"/>
      <c r="P103" s="5"/>
    </row>
    <row r="104" spans="1:16" ht="15.7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5"/>
      <c r="M104" s="5"/>
      <c r="N104" s="5"/>
      <c r="O104" s="5"/>
      <c r="P104" s="5"/>
    </row>
    <row r="105" spans="1:16" ht="15.7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5"/>
      <c r="M105" s="5"/>
      <c r="N105" s="5"/>
      <c r="O105" s="5"/>
      <c r="P105" s="5"/>
    </row>
    <row r="106" spans="1:16" ht="15.7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5"/>
      <c r="M106" s="5"/>
      <c r="N106" s="5"/>
      <c r="O106" s="5"/>
      <c r="P106" s="5"/>
    </row>
    <row r="107" spans="1:16" ht="15.7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5"/>
      <c r="M107" s="5"/>
      <c r="N107" s="5"/>
      <c r="O107" s="5"/>
      <c r="P107" s="5"/>
    </row>
    <row r="108" spans="1:16" ht="15.7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5"/>
      <c r="M108" s="5"/>
      <c r="N108" s="5"/>
      <c r="O108" s="5"/>
      <c r="P108" s="5"/>
    </row>
    <row r="109" spans="1:16" ht="15.7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5"/>
      <c r="M109" s="5"/>
      <c r="N109" s="5"/>
      <c r="O109" s="5"/>
      <c r="P109" s="5"/>
    </row>
    <row r="110" spans="1:16" ht="15.7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5"/>
      <c r="M110" s="5"/>
      <c r="N110" s="5"/>
      <c r="O110" s="5"/>
      <c r="P110" s="5"/>
    </row>
    <row r="111" spans="1:16" ht="15.7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5"/>
      <c r="M111" s="5"/>
      <c r="N111" s="5"/>
      <c r="O111" s="5"/>
      <c r="P111" s="5"/>
    </row>
    <row r="112" spans="1:16" ht="15.7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5"/>
      <c r="M112" s="5"/>
      <c r="N112" s="5"/>
      <c r="O112" s="5"/>
      <c r="P112" s="5"/>
    </row>
    <row r="113" spans="1:16" ht="15.7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5"/>
      <c r="M113" s="5"/>
      <c r="N113" s="5"/>
      <c r="O113" s="5"/>
      <c r="P113" s="5"/>
    </row>
    <row r="114" spans="1:16" ht="15.7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5"/>
      <c r="M114" s="5"/>
      <c r="N114" s="5"/>
      <c r="O114" s="5"/>
      <c r="P114" s="5"/>
    </row>
    <row r="115" spans="1:16" ht="15.7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5"/>
      <c r="M115" s="5"/>
      <c r="N115" s="5"/>
      <c r="O115" s="5"/>
      <c r="P115" s="5"/>
    </row>
    <row r="116" spans="1:16" ht="15.75">
      <c r="A116" s="10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8"/>
      <c r="M116" s="8"/>
      <c r="N116" s="8"/>
      <c r="O116" s="8"/>
      <c r="P116" s="8"/>
    </row>
    <row r="117" spans="1:16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2"/>
      <c r="M117" s="12"/>
      <c r="N117" s="12"/>
      <c r="O117" s="12"/>
      <c r="P117" s="12"/>
    </row>
    <row r="118" spans="1:16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5"/>
      <c r="M118" s="5"/>
      <c r="N118" s="5"/>
      <c r="O118" s="5"/>
      <c r="P118" s="5"/>
    </row>
  </sheetData>
  <sheetProtection/>
  <mergeCells count="25">
    <mergeCell ref="G1:H1"/>
    <mergeCell ref="E2:H2"/>
    <mergeCell ref="I3:O3"/>
    <mergeCell ref="I4:O4"/>
    <mergeCell ref="I5:I6"/>
    <mergeCell ref="C4:H4"/>
    <mergeCell ref="C5:C6"/>
    <mergeCell ref="C3:H3"/>
    <mergeCell ref="Q5:Q6"/>
    <mergeCell ref="A3:A6"/>
    <mergeCell ref="B3:B6"/>
    <mergeCell ref="O5:O6"/>
    <mergeCell ref="P3:T3"/>
    <mergeCell ref="P4:T4"/>
    <mergeCell ref="R5:R6"/>
    <mergeCell ref="S5:S6"/>
    <mergeCell ref="T5:T6"/>
    <mergeCell ref="A71:P71"/>
    <mergeCell ref="D5:F5"/>
    <mergeCell ref="L5:N5"/>
    <mergeCell ref="G5:G6"/>
    <mergeCell ref="H5:H6"/>
    <mergeCell ref="J5:J6"/>
    <mergeCell ref="K5:K6"/>
    <mergeCell ref="P5:P6"/>
  </mergeCells>
  <printOptions horizontalCentered="1"/>
  <pageMargins left="0.3937007874015748" right="0.1968503937007874" top="0.5905511811023623" bottom="0" header="0" footer="0"/>
  <pageSetup horizontalDpi="600" verticalDpi="600" orientation="portrait" paperSize="9" scale="54" r:id="rId1"/>
  <rowBreaks count="1" manualBreakCount="1">
    <brk id="56" max="255" man="1"/>
  </rowBreaks>
  <colBreaks count="1" manualBreakCount="1">
    <brk id="8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17"/>
  <sheetViews>
    <sheetView tabSelected="1" view="pageBreakPreview" zoomScale="81" zoomScaleNormal="71" zoomScaleSheetLayoutView="81" zoomScalePageLayoutView="0" workbookViewId="0" topLeftCell="A1">
      <pane xSplit="2" ySplit="5" topLeftCell="C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45" sqref="M45"/>
    </sheetView>
  </sheetViews>
  <sheetFormatPr defaultColWidth="9.140625" defaultRowHeight="12.75"/>
  <cols>
    <col min="1" max="1" width="9.00390625" style="13" customWidth="1"/>
    <col min="2" max="2" width="30.8515625" style="13" customWidth="1"/>
    <col min="3" max="3" width="42.421875" style="13" customWidth="1"/>
    <col min="4" max="4" width="0.5625" style="1" customWidth="1"/>
    <col min="5" max="16384" width="9.140625" style="1" customWidth="1"/>
  </cols>
  <sheetData>
    <row r="1" spans="1:4" ht="15.75">
      <c r="A1" s="45"/>
      <c r="B1" s="107" t="s">
        <v>93</v>
      </c>
      <c r="C1" s="107"/>
      <c r="D1" s="53"/>
    </row>
    <row r="2" spans="1:4" ht="18.75">
      <c r="A2" s="108" t="s">
        <v>86</v>
      </c>
      <c r="B2" s="108"/>
      <c r="C2" s="108"/>
      <c r="D2" s="54"/>
    </row>
    <row r="3" spans="1:7" ht="36" customHeight="1">
      <c r="A3" s="100" t="s">
        <v>0</v>
      </c>
      <c r="B3" s="97" t="s">
        <v>63</v>
      </c>
      <c r="C3" s="47" t="s">
        <v>89</v>
      </c>
      <c r="D3" s="49"/>
      <c r="E3" s="49"/>
      <c r="F3" s="49"/>
      <c r="G3" s="49"/>
    </row>
    <row r="4" spans="1:7" ht="27.75" customHeight="1">
      <c r="A4" s="101"/>
      <c r="B4" s="98"/>
      <c r="C4" s="47" t="s">
        <v>46</v>
      </c>
      <c r="D4" s="49" t="s">
        <v>95</v>
      </c>
      <c r="E4" s="49"/>
      <c r="F4" s="49"/>
      <c r="G4" s="49"/>
    </row>
    <row r="5" spans="1:3" ht="93.75" customHeight="1">
      <c r="A5" s="101"/>
      <c r="B5" s="98"/>
      <c r="C5" s="57" t="s">
        <v>84</v>
      </c>
    </row>
    <row r="6" spans="1:3" s="15" customFormat="1" ht="17.25" customHeight="1">
      <c r="A6" s="34">
        <v>1</v>
      </c>
      <c r="B6" s="34">
        <v>2</v>
      </c>
      <c r="C6" s="34">
        <v>3</v>
      </c>
    </row>
    <row r="7" spans="1:4" s="24" customFormat="1" ht="15.75">
      <c r="A7" s="30">
        <v>1</v>
      </c>
      <c r="B7" s="22" t="s">
        <v>1</v>
      </c>
      <c r="C7" s="44">
        <f>'ФО общехоз.затрат'!T8+'ФО непосредств.затрат'!Y8+D7</f>
        <v>1736.3000000000002</v>
      </c>
      <c r="D7" s="94">
        <v>38.5</v>
      </c>
    </row>
    <row r="8" spans="1:4" s="24" customFormat="1" ht="15.75">
      <c r="A8" s="31">
        <v>2</v>
      </c>
      <c r="B8" s="22" t="s">
        <v>2</v>
      </c>
      <c r="C8" s="44">
        <f>'ФО общехоз.затрат'!T9+'ФО непосредств.затрат'!Y9+D8</f>
        <v>2212.5000000000005</v>
      </c>
      <c r="D8" s="94">
        <v>46.8</v>
      </c>
    </row>
    <row r="9" spans="1:4" s="24" customFormat="1" ht="15.75">
      <c r="A9" s="30">
        <v>3</v>
      </c>
      <c r="B9" s="22" t="s">
        <v>3</v>
      </c>
      <c r="C9" s="44">
        <f>'ФО общехоз.затрат'!T10+'ФО непосредств.затрат'!Y10+D9</f>
        <v>2552</v>
      </c>
      <c r="D9" s="94">
        <v>65</v>
      </c>
    </row>
    <row r="10" spans="1:4" s="24" customFormat="1" ht="15.75">
      <c r="A10" s="31">
        <v>4</v>
      </c>
      <c r="B10" s="22" t="s">
        <v>4</v>
      </c>
      <c r="C10" s="44">
        <f>'ФО общехоз.затрат'!T11+'ФО непосредств.затрат'!Y11+D10</f>
        <v>4321.4</v>
      </c>
      <c r="D10" s="94">
        <v>130.5</v>
      </c>
    </row>
    <row r="11" spans="1:4" s="24" customFormat="1" ht="15.75">
      <c r="A11" s="30">
        <v>5</v>
      </c>
      <c r="B11" s="22" t="s">
        <v>5</v>
      </c>
      <c r="C11" s="44">
        <f>'ФО общехоз.затрат'!T12+'ФО непосредств.затрат'!Y12+D11</f>
        <v>4210</v>
      </c>
      <c r="D11" s="94">
        <v>140</v>
      </c>
    </row>
    <row r="12" spans="1:4" s="24" customFormat="1" ht="15.75">
      <c r="A12" s="31">
        <v>6</v>
      </c>
      <c r="B12" s="22" t="s">
        <v>6</v>
      </c>
      <c r="C12" s="44">
        <f>'ФО общехоз.затрат'!T13+'ФО непосредств.затрат'!Y13+D12</f>
        <v>2269.2</v>
      </c>
      <c r="D12" s="94">
        <v>43.6</v>
      </c>
    </row>
    <row r="13" spans="1:4" s="24" customFormat="1" ht="15.75">
      <c r="A13" s="30">
        <v>7</v>
      </c>
      <c r="B13" s="22" t="s">
        <v>7</v>
      </c>
      <c r="C13" s="44">
        <f>'ФО общехоз.затрат'!T14+'ФО непосредств.затрат'!Y14+D13</f>
        <v>3958.5000000000005</v>
      </c>
      <c r="D13" s="94">
        <v>213.2</v>
      </c>
    </row>
    <row r="14" spans="1:4" s="24" customFormat="1" ht="15.75">
      <c r="A14" s="31">
        <v>8</v>
      </c>
      <c r="B14" s="22" t="s">
        <v>8</v>
      </c>
      <c r="C14" s="44">
        <f>'ФО общехоз.затрат'!T15+'ФО непосредств.затрат'!Y15+D14</f>
        <v>3939.3999999999996</v>
      </c>
      <c r="D14" s="94">
        <v>115.4</v>
      </c>
    </row>
    <row r="15" spans="1:4" s="24" customFormat="1" ht="15.75">
      <c r="A15" s="30">
        <v>9</v>
      </c>
      <c r="B15" s="22" t="s">
        <v>9</v>
      </c>
      <c r="C15" s="44">
        <f>'ФО общехоз.затрат'!T16+'ФО непосредств.затрат'!Y16+D15</f>
        <v>4477.200000000001</v>
      </c>
      <c r="D15" s="24">
        <v>197.1</v>
      </c>
    </row>
    <row r="16" spans="1:4" s="24" customFormat="1" ht="15.75">
      <c r="A16" s="31">
        <v>10</v>
      </c>
      <c r="B16" s="22" t="s">
        <v>10</v>
      </c>
      <c r="C16" s="44">
        <f>'ФО общехоз.затрат'!T17+'ФО непосредств.затрат'!Y17+D16</f>
        <v>4115.9</v>
      </c>
      <c r="D16" s="24">
        <v>302.4</v>
      </c>
    </row>
    <row r="17" spans="1:4" s="24" customFormat="1" ht="15.75">
      <c r="A17" s="30">
        <v>11</v>
      </c>
      <c r="B17" s="25" t="s">
        <v>11</v>
      </c>
      <c r="C17" s="44">
        <f>'ФО общехоз.затрат'!T18+'ФО непосредств.затрат'!Y18+D17</f>
        <v>3134.2999999999997</v>
      </c>
      <c r="D17" s="24">
        <v>603</v>
      </c>
    </row>
    <row r="18" spans="1:4" s="24" customFormat="1" ht="15.75">
      <c r="A18" s="31">
        <v>12</v>
      </c>
      <c r="B18" s="22" t="s">
        <v>25</v>
      </c>
      <c r="C18" s="44">
        <f>'ФО общехоз.затрат'!T19+'ФО непосредств.затрат'!Y19+D18</f>
        <v>897.8999999999999</v>
      </c>
      <c r="D18" s="94">
        <v>3.2</v>
      </c>
    </row>
    <row r="19" spans="1:4" s="24" customFormat="1" ht="15.75">
      <c r="A19" s="30">
        <v>13</v>
      </c>
      <c r="B19" s="22" t="s">
        <v>24</v>
      </c>
      <c r="C19" s="44">
        <f>'ФО общехоз.затрат'!T20+'ФО непосредств.затрат'!Y20+D19</f>
        <v>640.3000000000001</v>
      </c>
      <c r="D19" s="94">
        <v>5.2</v>
      </c>
    </row>
    <row r="20" spans="1:4" s="24" customFormat="1" ht="15.75">
      <c r="A20" s="31">
        <v>14</v>
      </c>
      <c r="B20" s="22" t="s">
        <v>12</v>
      </c>
      <c r="C20" s="44">
        <f>'ФО общехоз.затрат'!T21+'ФО непосредств.затрат'!Y21+D20</f>
        <v>1349.8500000000001</v>
      </c>
      <c r="D20" s="94">
        <v>2.2</v>
      </c>
    </row>
    <row r="21" spans="1:4" s="24" customFormat="1" ht="15.75">
      <c r="A21" s="30">
        <v>15</v>
      </c>
      <c r="B21" s="22" t="s">
        <v>13</v>
      </c>
      <c r="C21" s="44">
        <f>'ФО общехоз.затрат'!T22+'ФО непосредств.затрат'!Y22+D21</f>
        <v>1050.6</v>
      </c>
      <c r="D21" s="94">
        <v>2.3</v>
      </c>
    </row>
    <row r="22" spans="1:4" s="24" customFormat="1" ht="15.75">
      <c r="A22" s="31">
        <v>16</v>
      </c>
      <c r="B22" s="22" t="s">
        <v>14</v>
      </c>
      <c r="C22" s="44">
        <f>'ФО общехоз.затрат'!T23+'ФО непосредств.затрат'!Y23+D22</f>
        <v>1029.8</v>
      </c>
      <c r="D22" s="94">
        <v>1.5</v>
      </c>
    </row>
    <row r="23" spans="1:4" s="26" customFormat="1" ht="16.5" customHeight="1">
      <c r="A23" s="32">
        <v>17</v>
      </c>
      <c r="B23" s="25" t="s">
        <v>15</v>
      </c>
      <c r="C23" s="44">
        <f>'ФО общехоз.затрат'!T24+'ФО непосредств.затрат'!Y24+D23</f>
        <v>1154.8</v>
      </c>
      <c r="D23" s="95">
        <v>1</v>
      </c>
    </row>
    <row r="24" spans="1:4" s="24" customFormat="1" ht="19.5" customHeight="1">
      <c r="A24" s="31">
        <v>18</v>
      </c>
      <c r="B24" s="22" t="s">
        <v>26</v>
      </c>
      <c r="C24" s="44">
        <f>'ФО общехоз.затрат'!T25+'ФО непосредств.затрат'!Y25+D24</f>
        <v>742.4</v>
      </c>
      <c r="D24" s="94">
        <v>2.1</v>
      </c>
    </row>
    <row r="25" spans="1:4" s="24" customFormat="1" ht="19.5" customHeight="1">
      <c r="A25" s="30">
        <v>19</v>
      </c>
      <c r="B25" s="22" t="s">
        <v>27</v>
      </c>
      <c r="C25" s="44">
        <f>'ФО общехоз.затрат'!T26+'ФО непосредств.затрат'!Y26+D25</f>
        <v>770.5</v>
      </c>
      <c r="D25" s="94">
        <v>1.2</v>
      </c>
    </row>
    <row r="26" spans="1:4" s="24" customFormat="1" ht="18" customHeight="1">
      <c r="A26" s="31">
        <v>20</v>
      </c>
      <c r="B26" s="22" t="s">
        <v>28</v>
      </c>
      <c r="C26" s="44">
        <f>'ФО общехоз.затрат'!T27+'ФО непосредств.затрат'!Y27+D26</f>
        <v>771.0999999999999</v>
      </c>
      <c r="D26" s="94">
        <v>0.4</v>
      </c>
    </row>
    <row r="27" spans="1:4" s="24" customFormat="1" ht="18.75" customHeight="1">
      <c r="A27" s="30">
        <v>21</v>
      </c>
      <c r="B27" s="22" t="s">
        <v>29</v>
      </c>
      <c r="C27" s="44">
        <f>'ФО общехоз.затрат'!T28+'ФО непосредств.затрат'!Y28+D27</f>
        <v>839.9000000000001</v>
      </c>
      <c r="D27" s="94">
        <v>0.7</v>
      </c>
    </row>
    <row r="28" spans="1:4" s="24" customFormat="1" ht="15.75">
      <c r="A28" s="31">
        <v>22</v>
      </c>
      <c r="B28" s="22" t="s">
        <v>16</v>
      </c>
      <c r="C28" s="44">
        <f>'ФО общехоз.затрат'!T29+'ФО непосредств.затрат'!Y29+D28</f>
        <v>1630.8</v>
      </c>
      <c r="D28" s="94">
        <v>40</v>
      </c>
    </row>
    <row r="29" spans="1:4" s="24" customFormat="1" ht="15.75">
      <c r="A29" s="30">
        <v>23</v>
      </c>
      <c r="B29" s="22" t="s">
        <v>17</v>
      </c>
      <c r="C29" s="44">
        <f>'ФО общехоз.затрат'!T30+'ФО непосредств.затрат'!Y30+D29</f>
        <v>1535.1000000000001</v>
      </c>
      <c r="D29" s="94">
        <v>34.7</v>
      </c>
    </row>
    <row r="30" spans="1:4" s="26" customFormat="1" ht="18" customHeight="1">
      <c r="A30" s="31">
        <v>24</v>
      </c>
      <c r="B30" s="25" t="s">
        <v>18</v>
      </c>
      <c r="C30" s="44">
        <f>'ФО общехоз.затрат'!T31+'ФО непосредств.затрат'!Y31+D30</f>
        <v>1816.7</v>
      </c>
      <c r="D30" s="95">
        <v>62.7</v>
      </c>
    </row>
    <row r="31" spans="1:4" s="24" customFormat="1" ht="15.75">
      <c r="A31" s="30">
        <v>25</v>
      </c>
      <c r="B31" s="22" t="s">
        <v>19</v>
      </c>
      <c r="C31" s="44">
        <f>'ФО общехоз.затрат'!T32+'ФО непосредств.затрат'!Y32+D31</f>
        <v>1703</v>
      </c>
      <c r="D31" s="24">
        <v>50.6</v>
      </c>
    </row>
    <row r="32" spans="1:4" s="24" customFormat="1" ht="15.75">
      <c r="A32" s="31">
        <v>26</v>
      </c>
      <c r="B32" s="22" t="s">
        <v>20</v>
      </c>
      <c r="C32" s="44">
        <f>'ФО общехоз.затрат'!T33+'ФО непосредств.затрат'!Y33+D32</f>
        <v>2062.8</v>
      </c>
      <c r="D32" s="24">
        <v>6.3</v>
      </c>
    </row>
    <row r="33" spans="1:4" s="24" customFormat="1" ht="15.75">
      <c r="A33" s="30">
        <v>27</v>
      </c>
      <c r="B33" s="22" t="s">
        <v>30</v>
      </c>
      <c r="C33" s="44">
        <f>'ФО общехоз.затрат'!T34+'ФО непосредств.затрат'!Y34+D33</f>
        <v>778.3000000000001</v>
      </c>
      <c r="D33" s="94">
        <v>0.5</v>
      </c>
    </row>
    <row r="34" spans="1:4" s="24" customFormat="1" ht="15.75">
      <c r="A34" s="31">
        <v>28</v>
      </c>
      <c r="B34" s="22" t="s">
        <v>31</v>
      </c>
      <c r="C34" s="44">
        <f>'ФО общехоз.затрат'!T35+'ФО непосредств.затрат'!Y35+D34</f>
        <v>629.3000000000001</v>
      </c>
      <c r="D34" s="94">
        <v>1.2</v>
      </c>
    </row>
    <row r="35" spans="1:4" s="24" customFormat="1" ht="15.75">
      <c r="A35" s="30">
        <v>29</v>
      </c>
      <c r="B35" s="22" t="s">
        <v>21</v>
      </c>
      <c r="C35" s="44">
        <f>'ФО общехоз.затрат'!T36+'ФО непосредств.затрат'!Y36+D35</f>
        <v>814.1</v>
      </c>
      <c r="D35" s="94">
        <v>3.1</v>
      </c>
    </row>
    <row r="36" spans="1:4" s="24" customFormat="1" ht="15.75">
      <c r="A36" s="31">
        <v>30</v>
      </c>
      <c r="B36" s="22" t="s">
        <v>32</v>
      </c>
      <c r="C36" s="44">
        <f>'ФО общехоз.затрат'!T37+'ФО непосредств.затрат'!Y37+D36</f>
        <v>828.1999999999999</v>
      </c>
      <c r="D36" s="94">
        <v>3.8</v>
      </c>
    </row>
    <row r="37" spans="1:4" s="24" customFormat="1" ht="17.25" customHeight="1">
      <c r="A37" s="30">
        <v>31</v>
      </c>
      <c r="B37" s="22" t="s">
        <v>33</v>
      </c>
      <c r="C37" s="44">
        <f>'ФО общехоз.затрат'!T38+'ФО непосредств.затрат'!Y38+D37</f>
        <v>955.8</v>
      </c>
      <c r="D37" s="94">
        <v>0.6</v>
      </c>
    </row>
    <row r="38" spans="1:4" s="24" customFormat="1" ht="15.75">
      <c r="A38" s="31">
        <v>32</v>
      </c>
      <c r="B38" s="22" t="s">
        <v>34</v>
      </c>
      <c r="C38" s="44">
        <f>'ФО общехоз.затрат'!T39+'ФО непосредств.затрат'!Y39+D38</f>
        <v>338.3</v>
      </c>
      <c r="D38" s="94">
        <v>17.5</v>
      </c>
    </row>
    <row r="39" spans="1:4" s="24" customFormat="1" ht="15.75">
      <c r="A39" s="30">
        <v>33</v>
      </c>
      <c r="B39" s="22" t="s">
        <v>35</v>
      </c>
      <c r="C39" s="44">
        <f>'ФО общехоз.затрат'!T40+'ФО непосредств.затрат'!Y40+D39</f>
        <v>1212.3</v>
      </c>
      <c r="D39" s="94">
        <v>2.8</v>
      </c>
    </row>
    <row r="40" spans="1:4" s="26" customFormat="1" ht="16.5" customHeight="1">
      <c r="A40" s="33">
        <v>34</v>
      </c>
      <c r="B40" s="25" t="s">
        <v>36</v>
      </c>
      <c r="C40" s="44">
        <f>'ФО общехоз.затрат'!T41+'ФО непосредств.затрат'!Y41+D40</f>
        <v>507.9</v>
      </c>
      <c r="D40" s="95">
        <v>5.1</v>
      </c>
    </row>
    <row r="41" spans="1:4" s="26" customFormat="1" ht="15" customHeight="1">
      <c r="A41" s="32">
        <v>35</v>
      </c>
      <c r="B41" s="25" t="s">
        <v>37</v>
      </c>
      <c r="C41" s="44">
        <f>'ФО общехоз.затрат'!T42+'ФО непосредств.затрат'!Y42+D41</f>
        <v>893.1999999999999</v>
      </c>
      <c r="D41" s="95">
        <v>0.9</v>
      </c>
    </row>
    <row r="42" spans="1:4" s="24" customFormat="1" ht="15.75" customHeight="1">
      <c r="A42" s="31">
        <v>36</v>
      </c>
      <c r="B42" s="22" t="s">
        <v>38</v>
      </c>
      <c r="C42" s="44">
        <f>'ФО общехоз.затрат'!T43+'ФО непосредств.затрат'!Y43+D42</f>
        <v>1378.6000000000001</v>
      </c>
      <c r="D42" s="94">
        <v>27.5</v>
      </c>
    </row>
    <row r="43" spans="1:4" s="24" customFormat="1" ht="15.75">
      <c r="A43" s="30">
        <v>37</v>
      </c>
      <c r="B43" s="22" t="s">
        <v>39</v>
      </c>
      <c r="C43" s="44">
        <f>'ФО общехоз.затрат'!T44+'ФО непосредств.затрат'!Y44+D43</f>
        <v>740.5</v>
      </c>
      <c r="D43" s="94">
        <v>1.5</v>
      </c>
    </row>
    <row r="44" spans="1:4" s="24" customFormat="1" ht="15.75">
      <c r="A44" s="31">
        <v>38</v>
      </c>
      <c r="B44" s="22" t="s">
        <v>22</v>
      </c>
      <c r="C44" s="44">
        <f>'ФО общехоз.затрат'!T45+'ФО непосредств.затрат'!Y45+D44</f>
        <v>956.4</v>
      </c>
      <c r="D44" s="94">
        <v>3.1</v>
      </c>
    </row>
    <row r="45" spans="1:4" s="24" customFormat="1" ht="15.75">
      <c r="A45" s="30">
        <v>39</v>
      </c>
      <c r="B45" s="22" t="s">
        <v>40</v>
      </c>
      <c r="C45" s="44">
        <f>'ФО общехоз.затрат'!T46+'ФО непосредств.затрат'!Y46+D45</f>
        <v>870.1</v>
      </c>
      <c r="D45" s="94">
        <v>0.7</v>
      </c>
    </row>
    <row r="46" spans="1:4" s="24" customFormat="1" ht="15.75">
      <c r="A46" s="31">
        <v>40</v>
      </c>
      <c r="B46" s="22" t="s">
        <v>41</v>
      </c>
      <c r="C46" s="44">
        <f>'ФО общехоз.затрат'!T47+'ФО непосредств.затрат'!Y47+D46</f>
        <v>696.9000000000001</v>
      </c>
      <c r="D46" s="94">
        <v>0.2</v>
      </c>
    </row>
    <row r="47" spans="1:4" s="24" customFormat="1" ht="15.75">
      <c r="A47" s="30">
        <v>41</v>
      </c>
      <c r="B47" s="22" t="s">
        <v>42</v>
      </c>
      <c r="C47" s="44">
        <f>'ФО общехоз.затрат'!T48+'ФО непосредств.затрат'!Y48+D47</f>
        <v>705.6</v>
      </c>
      <c r="D47" s="94">
        <v>9.1</v>
      </c>
    </row>
    <row r="48" spans="1:4" s="24" customFormat="1" ht="15.75">
      <c r="A48" s="31">
        <v>42</v>
      </c>
      <c r="B48" s="22" t="s">
        <v>23</v>
      </c>
      <c r="C48" s="44">
        <f>'ФО общехоз.затрат'!T49+'ФО непосредств.затрат'!Y49+D48</f>
        <v>0</v>
      </c>
      <c r="D48" s="24">
        <v>0</v>
      </c>
    </row>
    <row r="49" spans="1:4" s="24" customFormat="1" ht="15.75">
      <c r="A49" s="30">
        <v>43</v>
      </c>
      <c r="B49" s="22" t="s">
        <v>43</v>
      </c>
      <c r="C49" s="44">
        <f>'ФО общехоз.затрат'!T50+'ФО непосредств.затрат'!Y50+D49</f>
        <v>589</v>
      </c>
      <c r="D49" s="24">
        <v>0.7</v>
      </c>
    </row>
    <row r="50" spans="1:4" s="24" customFormat="1" ht="34.5" customHeight="1">
      <c r="A50" s="31">
        <v>44</v>
      </c>
      <c r="B50" s="25" t="s">
        <v>44</v>
      </c>
      <c r="C50" s="44">
        <f>'ФО общехоз.затрат'!T51+'ФО непосредств.затрат'!Y51+D50</f>
        <v>370.1</v>
      </c>
      <c r="D50" s="24">
        <v>0</v>
      </c>
    </row>
    <row r="51" spans="1:4" s="26" customFormat="1" ht="31.5">
      <c r="A51" s="33">
        <v>45</v>
      </c>
      <c r="B51" s="25" t="s">
        <v>45</v>
      </c>
      <c r="C51" s="44">
        <f>'ФО общехоз.затрат'!T52+'ФО непосредств.затрат'!Y52+D51</f>
        <v>525.3000000000001</v>
      </c>
      <c r="D51" s="26">
        <v>5.1</v>
      </c>
    </row>
    <row r="52" spans="1:4" s="42" customFormat="1" ht="27" customHeight="1">
      <c r="A52" s="151"/>
      <c r="B52" s="152" t="s">
        <v>74</v>
      </c>
      <c r="C52" s="172">
        <f>'ФО общехоз.затрат'!T53+'ФО непосредств.затрат'!Y53+D52</f>
        <v>68712.15000000001</v>
      </c>
      <c r="D52" s="42">
        <f>SUM(D7:D51)</f>
        <v>2192.9999999999995</v>
      </c>
    </row>
    <row r="53" spans="1:3" s="140" customFormat="1" ht="15.75">
      <c r="A53" s="131"/>
      <c r="B53" s="132"/>
      <c r="C53" s="173"/>
    </row>
    <row r="54" spans="1:3" s="140" customFormat="1" ht="15.75">
      <c r="A54" s="131"/>
      <c r="B54" s="132"/>
      <c r="C54" s="173"/>
    </row>
    <row r="55" spans="1:3" s="148" customFormat="1" ht="15.75">
      <c r="A55" s="142"/>
      <c r="B55" s="143"/>
      <c r="C55" s="145"/>
    </row>
    <row r="56" spans="1:3" ht="18" customHeight="1">
      <c r="A56" s="18"/>
      <c r="B56" s="19"/>
      <c r="C56" s="20"/>
    </row>
    <row r="57" spans="1:3" ht="15.75">
      <c r="A57" s="3"/>
      <c r="B57" s="4"/>
      <c r="C57" s="16"/>
    </row>
    <row r="58" spans="1:3" ht="15.75">
      <c r="A58" s="3"/>
      <c r="B58" s="4"/>
      <c r="C58" s="17"/>
    </row>
    <row r="59" spans="1:3" ht="15.75">
      <c r="A59" s="3"/>
      <c r="B59" s="4"/>
      <c r="C59" s="17"/>
    </row>
    <row r="60" spans="1:3" ht="15.75">
      <c r="A60" s="3"/>
      <c r="B60" s="4"/>
      <c r="C60" s="17"/>
    </row>
    <row r="61" spans="1:3" ht="15.75">
      <c r="A61" s="3"/>
      <c r="B61" s="6"/>
      <c r="C61" s="6"/>
    </row>
    <row r="62" spans="1:3" ht="15.75">
      <c r="A62" s="3"/>
      <c r="B62" s="6"/>
      <c r="C62" s="6"/>
    </row>
    <row r="63" spans="1:3" ht="16.5" customHeight="1">
      <c r="A63" s="3"/>
      <c r="B63" s="4"/>
      <c r="C63" s="4"/>
    </row>
    <row r="64" spans="1:3" ht="15.75">
      <c r="A64" s="3"/>
      <c r="B64" s="4"/>
      <c r="C64" s="4"/>
    </row>
    <row r="65" spans="1:3" ht="15.75">
      <c r="A65" s="3"/>
      <c r="B65" s="4"/>
      <c r="C65" s="4"/>
    </row>
    <row r="66" spans="1:3" ht="15.75">
      <c r="A66" s="3"/>
      <c r="B66" s="4"/>
      <c r="C66" s="4"/>
    </row>
    <row r="67" spans="1:3" ht="15.75">
      <c r="A67" s="3"/>
      <c r="B67" s="4"/>
      <c r="C67" s="4"/>
    </row>
    <row r="68" spans="1:3" ht="15.75">
      <c r="A68" s="3"/>
      <c r="B68" s="4"/>
      <c r="C68" s="4"/>
    </row>
    <row r="69" spans="1:3" ht="15.75">
      <c r="A69" s="3"/>
      <c r="B69" s="7"/>
      <c r="C69" s="7"/>
    </row>
    <row r="70" spans="1:3" s="9" customFormat="1" ht="16.5" customHeight="1">
      <c r="A70" s="96"/>
      <c r="B70" s="96"/>
      <c r="C70" s="96"/>
    </row>
    <row r="71" spans="1:3" ht="15.75">
      <c r="A71" s="3"/>
      <c r="B71" s="6"/>
      <c r="C71" s="6"/>
    </row>
    <row r="72" spans="1:3" ht="15.75">
      <c r="A72" s="3"/>
      <c r="B72" s="6"/>
      <c r="C72" s="6"/>
    </row>
    <row r="73" spans="1:3" ht="15.75">
      <c r="A73" s="3"/>
      <c r="B73" s="6"/>
      <c r="C73" s="6"/>
    </row>
    <row r="74" spans="1:3" ht="15.75">
      <c r="A74" s="3"/>
      <c r="B74" s="6"/>
      <c r="C74" s="6"/>
    </row>
    <row r="75" spans="1:3" ht="18" customHeight="1">
      <c r="A75" s="3"/>
      <c r="B75" s="6"/>
      <c r="C75" s="6"/>
    </row>
    <row r="76" spans="1:3" ht="15.75">
      <c r="A76" s="3"/>
      <c r="B76" s="6"/>
      <c r="C76" s="6"/>
    </row>
    <row r="77" spans="1:3" ht="15.75">
      <c r="A77" s="3"/>
      <c r="B77" s="6"/>
      <c r="C77" s="6"/>
    </row>
    <row r="78" spans="1:3" ht="15.75">
      <c r="A78" s="3"/>
      <c r="B78" s="6"/>
      <c r="C78" s="6"/>
    </row>
    <row r="79" spans="1:3" ht="15.75">
      <c r="A79" s="3"/>
      <c r="B79" s="6"/>
      <c r="C79" s="6"/>
    </row>
    <row r="80" spans="1:3" ht="15.75">
      <c r="A80" s="3"/>
      <c r="B80" s="6"/>
      <c r="C80" s="6"/>
    </row>
    <row r="81" spans="1:3" ht="15.75">
      <c r="A81" s="3"/>
      <c r="B81" s="4"/>
      <c r="C81" s="4"/>
    </row>
    <row r="82" spans="1:3" ht="15.75">
      <c r="A82" s="3"/>
      <c r="B82" s="4"/>
      <c r="C82" s="4"/>
    </row>
    <row r="83" spans="1:3" ht="15.75">
      <c r="A83" s="3"/>
      <c r="B83" s="4"/>
      <c r="C83" s="4"/>
    </row>
    <row r="84" spans="1:3" ht="15.75">
      <c r="A84" s="3"/>
      <c r="B84" s="4"/>
      <c r="C84" s="4"/>
    </row>
    <row r="85" spans="1:3" ht="15.75">
      <c r="A85" s="3"/>
      <c r="B85" s="4"/>
      <c r="C85" s="4"/>
    </row>
    <row r="86" spans="1:3" ht="15.75">
      <c r="A86" s="3"/>
      <c r="B86" s="4"/>
      <c r="C86" s="4"/>
    </row>
    <row r="87" spans="1:3" ht="15.75">
      <c r="A87" s="3"/>
      <c r="B87" s="4"/>
      <c r="C87" s="4"/>
    </row>
    <row r="88" spans="1:3" ht="15.75">
      <c r="A88" s="3"/>
      <c r="B88" s="4"/>
      <c r="C88" s="4"/>
    </row>
    <row r="89" spans="1:3" ht="15.75">
      <c r="A89" s="3"/>
      <c r="B89" s="4"/>
      <c r="C89" s="4"/>
    </row>
    <row r="90" spans="1:3" ht="15.75">
      <c r="A90" s="3"/>
      <c r="B90" s="4"/>
      <c r="C90" s="4"/>
    </row>
    <row r="91" spans="1:3" ht="15.75">
      <c r="A91" s="3"/>
      <c r="B91" s="4"/>
      <c r="C91" s="4"/>
    </row>
    <row r="92" spans="1:3" ht="15.75">
      <c r="A92" s="3"/>
      <c r="B92" s="4"/>
      <c r="C92" s="4"/>
    </row>
    <row r="93" spans="1:3" ht="15.75">
      <c r="A93" s="3"/>
      <c r="B93" s="4"/>
      <c r="C93" s="4"/>
    </row>
    <row r="94" spans="1:3" ht="15.75">
      <c r="A94" s="3"/>
      <c r="B94" s="4"/>
      <c r="C94" s="4"/>
    </row>
    <row r="95" spans="1:3" ht="15.75">
      <c r="A95" s="3"/>
      <c r="B95" s="4"/>
      <c r="C95" s="4"/>
    </row>
    <row r="96" spans="1:3" ht="15.75">
      <c r="A96" s="3"/>
      <c r="B96" s="4"/>
      <c r="C96" s="4"/>
    </row>
    <row r="97" spans="1:3" ht="15.75">
      <c r="A97" s="3"/>
      <c r="B97" s="4"/>
      <c r="C97" s="4"/>
    </row>
    <row r="98" spans="1:3" ht="15.75">
      <c r="A98" s="3"/>
      <c r="B98" s="4"/>
      <c r="C98" s="4"/>
    </row>
    <row r="99" spans="1:3" ht="15.75">
      <c r="A99" s="3"/>
      <c r="B99" s="4"/>
      <c r="C99" s="4"/>
    </row>
    <row r="100" spans="1:3" ht="15.75">
      <c r="A100" s="3"/>
      <c r="B100" s="4"/>
      <c r="C100" s="4"/>
    </row>
    <row r="101" spans="1:3" ht="15.75">
      <c r="A101" s="3"/>
      <c r="B101" s="4"/>
      <c r="C101" s="4"/>
    </row>
    <row r="102" spans="1:3" ht="15.75">
      <c r="A102" s="3"/>
      <c r="B102" s="4"/>
      <c r="C102" s="4"/>
    </row>
    <row r="103" spans="1:3" ht="15.75">
      <c r="A103" s="3"/>
      <c r="B103" s="4"/>
      <c r="C103" s="4"/>
    </row>
    <row r="104" spans="1:3" ht="15.75">
      <c r="A104" s="3"/>
      <c r="B104" s="4"/>
      <c r="C104" s="4"/>
    </row>
    <row r="105" spans="1:3" ht="15.75">
      <c r="A105" s="3"/>
      <c r="B105" s="4"/>
      <c r="C105" s="4"/>
    </row>
    <row r="106" spans="1:3" ht="15.75">
      <c r="A106" s="3"/>
      <c r="B106" s="4"/>
      <c r="C106" s="4"/>
    </row>
    <row r="107" spans="1:3" ht="15.75">
      <c r="A107" s="3"/>
      <c r="B107" s="4"/>
      <c r="C107" s="4"/>
    </row>
    <row r="108" spans="1:3" ht="15.75">
      <c r="A108" s="3"/>
      <c r="B108" s="4"/>
      <c r="C108" s="4"/>
    </row>
    <row r="109" spans="1:3" ht="15.75">
      <c r="A109" s="3"/>
      <c r="B109" s="4"/>
      <c r="C109" s="4"/>
    </row>
    <row r="110" spans="1:3" ht="15.75">
      <c r="A110" s="3"/>
      <c r="B110" s="4"/>
      <c r="C110" s="4"/>
    </row>
    <row r="111" spans="1:3" ht="15.75">
      <c r="A111" s="3"/>
      <c r="B111" s="4"/>
      <c r="C111" s="4"/>
    </row>
    <row r="112" spans="1:3" ht="15.75">
      <c r="A112" s="3"/>
      <c r="B112" s="4"/>
      <c r="C112" s="4"/>
    </row>
    <row r="113" spans="1:3" ht="15.75">
      <c r="A113" s="3"/>
      <c r="B113" s="4"/>
      <c r="C113" s="4"/>
    </row>
    <row r="114" spans="1:3" ht="15.75">
      <c r="A114" s="3"/>
      <c r="B114" s="4"/>
      <c r="C114" s="4"/>
    </row>
    <row r="115" spans="1:3" ht="15.75">
      <c r="A115" s="10"/>
      <c r="B115" s="11"/>
      <c r="C115" s="11"/>
    </row>
    <row r="116" spans="1:3" ht="15.75">
      <c r="A116" s="11"/>
      <c r="B116" s="11"/>
      <c r="C116" s="11"/>
    </row>
    <row r="117" spans="1:3" ht="15.75">
      <c r="A117" s="10"/>
      <c r="B117" s="10"/>
      <c r="C117" s="10"/>
    </row>
  </sheetData>
  <sheetProtection/>
  <mergeCells count="5">
    <mergeCell ref="A70:C70"/>
    <mergeCell ref="A3:A5"/>
    <mergeCell ref="B3:B5"/>
    <mergeCell ref="B1:C1"/>
    <mergeCell ref="A2:C2"/>
  </mergeCells>
  <printOptions horizontalCentered="1"/>
  <pageMargins left="0" right="0" top="0.5905511811023623" bottom="0" header="0" footer="0"/>
  <pageSetup horizontalDpi="600" verticalDpi="600" orientation="portrait" paperSize="9" scale="55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2018-05-15T08:58:58Z</cp:lastPrinted>
  <dcterms:created xsi:type="dcterms:W3CDTF">2005-01-25T12:19:56Z</dcterms:created>
  <dcterms:modified xsi:type="dcterms:W3CDTF">2018-05-15T13:34:17Z</dcterms:modified>
  <cp:category/>
  <cp:version/>
  <cp:contentType/>
  <cp:contentStatus/>
</cp:coreProperties>
</file>