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2"/>
  </bookViews>
  <sheets>
    <sheet name="Приложение 1" sheetId="7" r:id="rId1"/>
    <sheet name="Приложение 2" sheetId="9" r:id="rId2"/>
    <sheet name="Приложение 3" sheetId="10" r:id="rId3"/>
  </sheets>
  <definedNames>
    <definedName name="_xlnm.Print_Titles" localSheetId="0">'Приложение 1'!$A:$C,'Приложение 1'!$2:$5</definedName>
    <definedName name="_xlnm.Print_Titles" localSheetId="1">'Приложение 2'!$A:$C,'Приложение 2'!$2:$5</definedName>
    <definedName name="_xlnm.Print_Titles" localSheetId="2">'Приложение 3'!$A:$C,'Приложение 3'!$2:$5</definedName>
    <definedName name="_xlnm.Print_Area" localSheetId="0">'Приложение 1'!$A$1:$K$89</definedName>
    <definedName name="_xlnm.Print_Area" localSheetId="1">'Приложение 2'!$A$1:$M$103</definedName>
    <definedName name="_xlnm.Print_Area" localSheetId="2">'Приложение 3'!$A$1:$G$117</definedName>
  </definedNames>
  <calcPr calcId="145621" calcOnSave="0"/>
</workbook>
</file>

<file path=xl/calcChain.xml><?xml version="1.0" encoding="utf-8"?>
<calcChain xmlns="http://schemas.openxmlformats.org/spreadsheetml/2006/main">
  <c r="G117" i="10" l="1"/>
  <c r="E117" i="10"/>
  <c r="M103" i="9"/>
  <c r="K103" i="9"/>
  <c r="I103" i="9"/>
  <c r="G103" i="9"/>
  <c r="E103" i="9"/>
  <c r="K89" i="7"/>
  <c r="I89" i="7"/>
  <c r="G89" i="7"/>
  <c r="E89" i="7"/>
  <c r="G116" i="10"/>
  <c r="E116" i="10"/>
  <c r="M102" i="9"/>
  <c r="K102" i="9"/>
  <c r="I102" i="9"/>
  <c r="G102" i="9"/>
  <c r="E102" i="9"/>
  <c r="K88" i="7"/>
  <c r="I88" i="7"/>
  <c r="G88" i="7"/>
  <c r="E88" i="7"/>
  <c r="E75" i="10" l="1"/>
  <c r="E73" i="10"/>
  <c r="E72" i="10"/>
  <c r="E71" i="10"/>
  <c r="E37" i="10"/>
  <c r="E65" i="10"/>
  <c r="G58" i="10"/>
  <c r="G57" i="10"/>
  <c r="E61" i="10"/>
  <c r="E59" i="10"/>
  <c r="E58" i="10"/>
  <c r="E57" i="10"/>
  <c r="G44" i="10"/>
  <c r="G43" i="10"/>
  <c r="G30" i="10"/>
  <c r="G29" i="10"/>
  <c r="E29" i="10"/>
  <c r="E30" i="10"/>
  <c r="G16" i="10"/>
  <c r="G15" i="10"/>
  <c r="G14" i="10"/>
  <c r="E19" i="10"/>
  <c r="E17" i="10"/>
  <c r="E15" i="10"/>
  <c r="E14" i="10"/>
  <c r="E58" i="9"/>
  <c r="E61" i="9"/>
  <c r="E47" i="9"/>
  <c r="E45" i="9"/>
  <c r="E43" i="9"/>
  <c r="E78" i="10"/>
  <c r="G67" i="10"/>
  <c r="G53" i="10"/>
  <c r="E55" i="10"/>
  <c r="E50" i="10"/>
  <c r="E49" i="10"/>
  <c r="G39" i="10"/>
  <c r="G25" i="10"/>
  <c r="E23" i="10"/>
  <c r="E16" i="10"/>
  <c r="G10" i="10"/>
  <c r="E8" i="10"/>
  <c r="E45" i="10" l="1"/>
  <c r="E44" i="10"/>
  <c r="E47" i="10"/>
  <c r="E43" i="10"/>
  <c r="G59" i="10"/>
  <c r="G61" i="10" s="1"/>
  <c r="G45" i="10"/>
  <c r="G47" i="10" s="1"/>
  <c r="G31" i="10"/>
  <c r="G33" i="10" s="1"/>
  <c r="E31" i="10"/>
  <c r="E33" i="10" s="1"/>
  <c r="G17" i="10"/>
  <c r="G19" i="10" s="1"/>
  <c r="E52" i="10"/>
  <c r="E51" i="10"/>
  <c r="E54" i="10"/>
  <c r="E56" i="10"/>
  <c r="K100" i="9"/>
  <c r="I100" i="9"/>
  <c r="G100" i="9"/>
  <c r="E100" i="9"/>
  <c r="E98" i="9"/>
  <c r="M98" i="9"/>
  <c r="K98" i="9"/>
  <c r="I98" i="9"/>
  <c r="G98" i="9"/>
  <c r="K95" i="9"/>
  <c r="I95" i="9"/>
  <c r="G95" i="9"/>
  <c r="E93" i="9"/>
  <c r="I93" i="9"/>
  <c r="E70" i="9"/>
  <c r="M58" i="9"/>
  <c r="M57" i="9"/>
  <c r="M59" i="9" s="1"/>
  <c r="K58" i="9"/>
  <c r="K57" i="9"/>
  <c r="K59" i="9" s="1"/>
  <c r="G58" i="9"/>
  <c r="G57" i="9"/>
  <c r="I58" i="9"/>
  <c r="I57" i="9"/>
  <c r="I59" i="9" s="1"/>
  <c r="E59" i="9"/>
  <c r="E57" i="9"/>
  <c r="M44" i="9"/>
  <c r="M43" i="9"/>
  <c r="K44" i="9"/>
  <c r="K43" i="9"/>
  <c r="I44" i="9"/>
  <c r="I43" i="9"/>
  <c r="G44" i="9"/>
  <c r="G43" i="9"/>
  <c r="E44" i="9"/>
  <c r="M30" i="9"/>
  <c r="M29" i="9"/>
  <c r="K30" i="9"/>
  <c r="K29" i="9"/>
  <c r="I30" i="9"/>
  <c r="I29" i="9"/>
  <c r="G30" i="9"/>
  <c r="G29" i="9"/>
  <c r="E33" i="9"/>
  <c r="E31" i="9"/>
  <c r="E30" i="9"/>
  <c r="E29" i="9"/>
  <c r="M16" i="9"/>
  <c r="M15" i="9"/>
  <c r="M14" i="9"/>
  <c r="I19" i="9"/>
  <c r="I17" i="9"/>
  <c r="I15" i="9"/>
  <c r="I14" i="9"/>
  <c r="M53" i="9"/>
  <c r="I53" i="9"/>
  <c r="E53" i="9"/>
  <c r="K16" i="9"/>
  <c r="I16" i="9"/>
  <c r="G16" i="9"/>
  <c r="E16" i="9"/>
  <c r="I82" i="9"/>
  <c r="I76" i="9"/>
  <c r="I71" i="9"/>
  <c r="I63" i="9"/>
  <c r="I67" i="9" s="1"/>
  <c r="I49" i="9"/>
  <c r="I35" i="9"/>
  <c r="I36" i="9" s="1"/>
  <c r="I21" i="9"/>
  <c r="I25" i="9" s="1"/>
  <c r="I6" i="9"/>
  <c r="I10" i="9" s="1"/>
  <c r="E82" i="9"/>
  <c r="E76" i="9"/>
  <c r="E71" i="9"/>
  <c r="E63" i="9"/>
  <c r="E67" i="9" s="1"/>
  <c r="E49" i="9"/>
  <c r="E35" i="9"/>
  <c r="E36" i="9" s="1"/>
  <c r="E21" i="9"/>
  <c r="E25" i="9" s="1"/>
  <c r="E6" i="9"/>
  <c r="E10" i="9" s="1"/>
  <c r="K86" i="7"/>
  <c r="I86" i="7"/>
  <c r="G86" i="7"/>
  <c r="E86" i="7"/>
  <c r="E62" i="10" l="1"/>
  <c r="M17" i="9"/>
  <c r="M19" i="9" s="1"/>
  <c r="M20" i="9" s="1"/>
  <c r="K61" i="9"/>
  <c r="M61" i="9"/>
  <c r="G59" i="9"/>
  <c r="G61" i="9" s="1"/>
  <c r="I61" i="9"/>
  <c r="G45" i="9"/>
  <c r="G47" i="9" s="1"/>
  <c r="I45" i="9"/>
  <c r="I47" i="9" s="1"/>
  <c r="K45" i="9"/>
  <c r="K47" i="9" s="1"/>
  <c r="M45" i="9"/>
  <c r="M47" i="9" s="1"/>
  <c r="G31" i="9"/>
  <c r="G33" i="9" s="1"/>
  <c r="I31" i="9"/>
  <c r="I33" i="9" s="1"/>
  <c r="K31" i="9"/>
  <c r="K33" i="9" s="1"/>
  <c r="M31" i="9"/>
  <c r="M33" i="9" s="1"/>
  <c r="E65" i="9"/>
  <c r="I65" i="9"/>
  <c r="I39" i="9"/>
  <c r="E39" i="9"/>
  <c r="I42" i="9"/>
  <c r="E42" i="9"/>
  <c r="I12" i="9"/>
  <c r="I27" i="9"/>
  <c r="I7" i="9"/>
  <c r="I9" i="9" s="1"/>
  <c r="I13" i="9"/>
  <c r="I22" i="9"/>
  <c r="I26" i="9" s="1"/>
  <c r="I28" i="9"/>
  <c r="I38" i="9"/>
  <c r="I41" i="9"/>
  <c r="I50" i="9"/>
  <c r="I54" i="9" s="1"/>
  <c r="I56" i="9"/>
  <c r="I66" i="9"/>
  <c r="I68" i="9" s="1"/>
  <c r="I70" i="9" s="1"/>
  <c r="I77" i="9"/>
  <c r="I24" i="9"/>
  <c r="I40" i="9"/>
  <c r="I55" i="9"/>
  <c r="I78" i="9"/>
  <c r="I80" i="9" s="1"/>
  <c r="E27" i="9"/>
  <c r="E7" i="9"/>
  <c r="E13" i="9"/>
  <c r="E22" i="9"/>
  <c r="E26" i="9" s="1"/>
  <c r="E28" i="9"/>
  <c r="E38" i="9"/>
  <c r="E41" i="9"/>
  <c r="E50" i="9"/>
  <c r="E54" i="9" s="1"/>
  <c r="E56" i="9"/>
  <c r="E66" i="9"/>
  <c r="E68" i="9" s="1"/>
  <c r="E77" i="9"/>
  <c r="E9" i="9"/>
  <c r="E12" i="9"/>
  <c r="E40" i="9"/>
  <c r="E52" i="9"/>
  <c r="E55" i="9"/>
  <c r="E69" i="9"/>
  <c r="E78" i="9"/>
  <c r="E80" i="9" s="1"/>
  <c r="I52" i="9" l="1"/>
  <c r="I79" i="9"/>
  <c r="I48" i="9"/>
  <c r="I69" i="9"/>
  <c r="I72" i="9" s="1"/>
  <c r="I11" i="9"/>
  <c r="E79" i="9"/>
  <c r="E24" i="9"/>
  <c r="E48" i="9"/>
  <c r="E72" i="9"/>
  <c r="E74" i="9" s="1"/>
  <c r="E75" i="9" s="1"/>
  <c r="E11" i="9"/>
  <c r="I74" i="9" l="1"/>
  <c r="I75" i="9" s="1"/>
  <c r="I34" i="9"/>
  <c r="I20" i="9"/>
  <c r="I62" i="9"/>
  <c r="I81" i="9"/>
  <c r="I83" i="9" s="1"/>
  <c r="I85" i="9" s="1"/>
  <c r="I86" i="9" s="1"/>
  <c r="E15" i="9"/>
  <c r="E14" i="9"/>
  <c r="E17" i="9" s="1"/>
  <c r="E19" i="9" s="1"/>
  <c r="E20" i="9" s="1"/>
  <c r="E81" i="9"/>
  <c r="E83" i="9" s="1"/>
  <c r="E85" i="9" s="1"/>
  <c r="E86" i="9" s="1"/>
  <c r="E62" i="9"/>
  <c r="I92" i="9" l="1"/>
  <c r="I88" i="9"/>
  <c r="I90" i="9"/>
  <c r="I94" i="9"/>
  <c r="E34" i="9"/>
  <c r="E90" i="9" l="1"/>
  <c r="E92" i="9"/>
  <c r="E88" i="9"/>
  <c r="I96" i="9"/>
  <c r="E94" i="9"/>
  <c r="E95" i="9" l="1"/>
  <c r="E96" i="9" s="1"/>
  <c r="K16" i="7" l="1"/>
  <c r="I16" i="7"/>
  <c r="G16" i="7"/>
  <c r="K68" i="7"/>
  <c r="K62" i="7"/>
  <c r="K57" i="7"/>
  <c r="K49" i="7"/>
  <c r="K53" i="7" s="1"/>
  <c r="K35" i="7"/>
  <c r="K39" i="7" s="1"/>
  <c r="K21" i="7"/>
  <c r="K25" i="7" s="1"/>
  <c r="K6" i="7"/>
  <c r="K42" i="7" l="1"/>
  <c r="K43" i="7"/>
  <c r="K22" i="7"/>
  <c r="K27" i="7"/>
  <c r="K36" i="7"/>
  <c r="K41" i="7"/>
  <c r="K51" i="7"/>
  <c r="K64" i="7"/>
  <c r="K13" i="7"/>
  <c r="K7" i="7"/>
  <c r="K11" i="7" s="1"/>
  <c r="K10" i="7"/>
  <c r="K12" i="7"/>
  <c r="K24" i="7"/>
  <c r="K26" i="7"/>
  <c r="K28" i="7"/>
  <c r="K30" i="7"/>
  <c r="K38" i="7"/>
  <c r="K40" i="7"/>
  <c r="K44" i="7" s="1"/>
  <c r="K52" i="7"/>
  <c r="K55" i="7" s="1"/>
  <c r="K63" i="7"/>
  <c r="E16" i="7"/>
  <c r="G68" i="7"/>
  <c r="G62" i="7"/>
  <c r="G57" i="7"/>
  <c r="G49" i="7"/>
  <c r="G53" i="7" s="1"/>
  <c r="G35" i="7"/>
  <c r="G21" i="7"/>
  <c r="G25" i="7" s="1"/>
  <c r="G6" i="7"/>
  <c r="G96" i="10"/>
  <c r="E96" i="10"/>
  <c r="G90" i="10"/>
  <c r="G91" i="10" s="1"/>
  <c r="E90" i="10"/>
  <c r="G85" i="10"/>
  <c r="E85" i="10"/>
  <c r="G77" i="10"/>
  <c r="G80" i="10" s="1"/>
  <c r="E77" i="10"/>
  <c r="E81" i="10" s="1"/>
  <c r="G63" i="10"/>
  <c r="G69" i="10" s="1"/>
  <c r="E63" i="10"/>
  <c r="G49" i="10"/>
  <c r="G56" i="10" s="1"/>
  <c r="G35" i="10"/>
  <c r="G42" i="10" s="1"/>
  <c r="E35" i="10"/>
  <c r="E41" i="10" s="1"/>
  <c r="G21" i="10"/>
  <c r="G28" i="10" s="1"/>
  <c r="E21" i="10"/>
  <c r="G6" i="10"/>
  <c r="E6" i="10"/>
  <c r="E12" i="10" s="1"/>
  <c r="E7" i="10" l="1"/>
  <c r="E11" i="10" s="1"/>
  <c r="E36" i="10"/>
  <c r="G64" i="10"/>
  <c r="G65" i="10" s="1"/>
  <c r="G78" i="10"/>
  <c r="E38" i="10"/>
  <c r="G39" i="7"/>
  <c r="G43" i="7"/>
  <c r="G42" i="7"/>
  <c r="K54" i="7"/>
  <c r="K56" i="7" s="1"/>
  <c r="K65" i="7"/>
  <c r="K67" i="7" s="1"/>
  <c r="K9" i="7"/>
  <c r="K66" i="7"/>
  <c r="K45" i="7"/>
  <c r="K29" i="7"/>
  <c r="K31" i="7" s="1"/>
  <c r="G22" i="7"/>
  <c r="G27" i="7"/>
  <c r="G36" i="7"/>
  <c r="G38" i="7" s="1"/>
  <c r="G41" i="7"/>
  <c r="G51" i="7"/>
  <c r="G13" i="7"/>
  <c r="G64" i="7"/>
  <c r="G7" i="7"/>
  <c r="G10" i="7"/>
  <c r="G12" i="7"/>
  <c r="G24" i="7"/>
  <c r="G26" i="7"/>
  <c r="G28" i="7"/>
  <c r="G40" i="7"/>
  <c r="G52" i="7"/>
  <c r="G63" i="7"/>
  <c r="E9" i="10"/>
  <c r="G13" i="10"/>
  <c r="E28" i="10"/>
  <c r="E69" i="10"/>
  <c r="E64" i="10"/>
  <c r="E68" i="10" s="1"/>
  <c r="G66" i="10"/>
  <c r="E70" i="10"/>
  <c r="G7" i="10"/>
  <c r="G12" i="10"/>
  <c r="E13" i="10"/>
  <c r="G27" i="10"/>
  <c r="G22" i="10"/>
  <c r="E22" i="10"/>
  <c r="E27" i="10"/>
  <c r="G41" i="10"/>
  <c r="G36" i="10"/>
  <c r="G38" i="10" s="1"/>
  <c r="G55" i="10"/>
  <c r="G50" i="10"/>
  <c r="G51" i="10" s="1"/>
  <c r="E40" i="10"/>
  <c r="E42" i="10"/>
  <c r="E80" i="10"/>
  <c r="E79" i="10"/>
  <c r="E91" i="10"/>
  <c r="E92" i="10"/>
  <c r="G68" i="10"/>
  <c r="G70" i="10"/>
  <c r="G79" i="10"/>
  <c r="G81" i="10"/>
  <c r="G83" i="10"/>
  <c r="G92" i="10"/>
  <c r="G93" i="10" s="1"/>
  <c r="G95" i="10" s="1"/>
  <c r="I68" i="7"/>
  <c r="E68" i="7"/>
  <c r="I57" i="7"/>
  <c r="E57" i="7"/>
  <c r="I62" i="7"/>
  <c r="E62" i="7"/>
  <c r="I49" i="7"/>
  <c r="E49" i="7"/>
  <c r="I35" i="7"/>
  <c r="E35" i="7"/>
  <c r="I21" i="7"/>
  <c r="E21" i="7"/>
  <c r="I6" i="7"/>
  <c r="E6" i="7"/>
  <c r="G40" i="10" l="1"/>
  <c r="E93" i="10"/>
  <c r="G94" i="10"/>
  <c r="I43" i="7"/>
  <c r="I42" i="7"/>
  <c r="E43" i="7"/>
  <c r="E42" i="7"/>
  <c r="K58" i="7"/>
  <c r="K60" i="7" s="1"/>
  <c r="K61" i="7" s="1"/>
  <c r="G66" i="7"/>
  <c r="G65" i="7"/>
  <c r="G67" i="7" s="1"/>
  <c r="K47" i="7"/>
  <c r="K48" i="7" s="1"/>
  <c r="K15" i="7"/>
  <c r="K33" i="7"/>
  <c r="K34" i="7" s="1"/>
  <c r="K14" i="7"/>
  <c r="K17" i="7" s="1"/>
  <c r="K69" i="7"/>
  <c r="K71" i="7" s="1"/>
  <c r="K72" i="7" s="1"/>
  <c r="G54" i="7"/>
  <c r="G56" i="7" s="1"/>
  <c r="G44" i="7"/>
  <c r="G30" i="7"/>
  <c r="G45" i="7"/>
  <c r="G29" i="7"/>
  <c r="G31" i="7" s="1"/>
  <c r="G33" i="7" s="1"/>
  <c r="G34" i="7" s="1"/>
  <c r="G11" i="7"/>
  <c r="G69" i="7"/>
  <c r="G71" i="7" s="1"/>
  <c r="G72" i="7" s="1"/>
  <c r="G55" i="7"/>
  <c r="G9" i="7"/>
  <c r="G97" i="10"/>
  <c r="G99" i="10" s="1"/>
  <c r="G100" i="10" s="1"/>
  <c r="E94" i="10"/>
  <c r="E95" i="10"/>
  <c r="E83" i="10"/>
  <c r="E82" i="10"/>
  <c r="E84" i="10" s="1"/>
  <c r="G54" i="10"/>
  <c r="G52" i="10"/>
  <c r="G37" i="10"/>
  <c r="G26" i="10"/>
  <c r="G24" i="10"/>
  <c r="E20" i="10"/>
  <c r="G9" i="10"/>
  <c r="G82" i="10"/>
  <c r="G84" i="10" s="1"/>
  <c r="E66" i="10"/>
  <c r="E24" i="10"/>
  <c r="G11" i="10"/>
  <c r="E48" i="10"/>
  <c r="G23" i="10"/>
  <c r="E26" i="10"/>
  <c r="G8" i="10"/>
  <c r="M82" i="9"/>
  <c r="K82" i="9"/>
  <c r="G82" i="9"/>
  <c r="M71" i="9"/>
  <c r="K71" i="9"/>
  <c r="G71" i="9"/>
  <c r="M76" i="9"/>
  <c r="K76" i="9"/>
  <c r="G76" i="9"/>
  <c r="M63" i="9"/>
  <c r="K63" i="9"/>
  <c r="G63" i="9"/>
  <c r="M49" i="9"/>
  <c r="K49" i="9"/>
  <c r="G49" i="9"/>
  <c r="M35" i="9"/>
  <c r="M39" i="9" s="1"/>
  <c r="K35" i="9"/>
  <c r="G35" i="9"/>
  <c r="M21" i="9"/>
  <c r="M25" i="9" s="1"/>
  <c r="K21" i="9"/>
  <c r="G21" i="9"/>
  <c r="M6" i="9"/>
  <c r="M10" i="9" s="1"/>
  <c r="K6" i="9"/>
  <c r="G6" i="9"/>
  <c r="E34" i="10" l="1"/>
  <c r="E76" i="10"/>
  <c r="K19" i="7"/>
  <c r="K20" i="7" s="1"/>
  <c r="G15" i="7"/>
  <c r="G14" i="7"/>
  <c r="G17" i="7" s="1"/>
  <c r="G47" i="7"/>
  <c r="G48" i="7" s="1"/>
  <c r="G58" i="7"/>
  <c r="G60" i="7" s="1"/>
  <c r="G61" i="7" s="1"/>
  <c r="E97" i="10"/>
  <c r="E99" i="10" s="1"/>
  <c r="E100" i="10" s="1"/>
  <c r="G86" i="10"/>
  <c r="G88" i="10" s="1"/>
  <c r="G89" i="10" s="1"/>
  <c r="E86" i="10"/>
  <c r="E88" i="10" s="1"/>
  <c r="E89" i="10" s="1"/>
  <c r="G76" i="10"/>
  <c r="K78" i="7" l="1"/>
  <c r="K74" i="7"/>
  <c r="K79" i="7" s="1"/>
  <c r="K80" i="7" s="1"/>
  <c r="K76" i="7"/>
  <c r="G19" i="7"/>
  <c r="G20" i="7"/>
  <c r="G48" i="10"/>
  <c r="G34" i="10"/>
  <c r="G20" i="10"/>
  <c r="E102" i="10"/>
  <c r="E104" i="10"/>
  <c r="G62" i="10"/>
  <c r="E106" i="10"/>
  <c r="G55" i="9"/>
  <c r="K55" i="9"/>
  <c r="M55" i="9"/>
  <c r="G41" i="9"/>
  <c r="K41" i="9"/>
  <c r="M41" i="9"/>
  <c r="G27" i="9"/>
  <c r="K27" i="9"/>
  <c r="M27" i="9"/>
  <c r="G12" i="9"/>
  <c r="K12" i="9"/>
  <c r="M12" i="9"/>
  <c r="E107" i="10" l="1"/>
  <c r="E108" i="10" s="1"/>
  <c r="G76" i="7"/>
  <c r="G78" i="7"/>
  <c r="G74" i="7"/>
  <c r="G79" i="7" s="1"/>
  <c r="G80" i="7" s="1"/>
  <c r="G106" i="10"/>
  <c r="G102" i="10"/>
  <c r="G104" i="10"/>
  <c r="E109" i="10" l="1"/>
  <c r="E112" i="10" s="1"/>
  <c r="E114" i="10"/>
  <c r="G109" i="10"/>
  <c r="G112" i="10" s="1"/>
  <c r="G107" i="10"/>
  <c r="G108" i="10" s="1"/>
  <c r="E110" i="10"/>
  <c r="G110" i="10" l="1"/>
  <c r="G114" i="10"/>
  <c r="K65" i="9"/>
  <c r="K36" i="9"/>
  <c r="M42" i="9" l="1"/>
  <c r="G42" i="9"/>
  <c r="K42" i="9"/>
  <c r="G7" i="9"/>
  <c r="M7" i="9"/>
  <c r="K13" i="9"/>
  <c r="K22" i="9"/>
  <c r="G28" i="9"/>
  <c r="M28" i="9"/>
  <c r="K7" i="9"/>
  <c r="K9" i="9" s="1"/>
  <c r="G9" i="9"/>
  <c r="G11" i="9"/>
  <c r="G13" i="9"/>
  <c r="M13" i="9"/>
  <c r="G22" i="9"/>
  <c r="M22" i="9"/>
  <c r="K24" i="9"/>
  <c r="K26" i="9"/>
  <c r="K28" i="9"/>
  <c r="K40" i="9"/>
  <c r="K38" i="9"/>
  <c r="G36" i="9"/>
  <c r="M36" i="9"/>
  <c r="G50" i="9"/>
  <c r="M50" i="9"/>
  <c r="M54" i="9" s="1"/>
  <c r="K56" i="9"/>
  <c r="K50" i="9"/>
  <c r="G56" i="9"/>
  <c r="M56" i="9"/>
  <c r="G65" i="9"/>
  <c r="M65" i="9"/>
  <c r="K66" i="9"/>
  <c r="K67" i="9"/>
  <c r="K69" i="9" s="1"/>
  <c r="G77" i="9"/>
  <c r="M77" i="9"/>
  <c r="K78" i="9"/>
  <c r="G66" i="9"/>
  <c r="M66" i="9"/>
  <c r="G67" i="9"/>
  <c r="M67" i="9"/>
  <c r="K77" i="9"/>
  <c r="G78" i="9"/>
  <c r="G80" i="9" s="1"/>
  <c r="M78" i="9"/>
  <c r="M80" i="9" s="1"/>
  <c r="I63" i="7"/>
  <c r="E63" i="7"/>
  <c r="I53" i="7"/>
  <c r="M11" i="9" l="1"/>
  <c r="M9" i="9"/>
  <c r="G52" i="9"/>
  <c r="M68" i="9"/>
  <c r="M70" i="9" s="1"/>
  <c r="M52" i="9"/>
  <c r="M69" i="9"/>
  <c r="G69" i="9"/>
  <c r="G68" i="9"/>
  <c r="G70" i="9" s="1"/>
  <c r="G54" i="9"/>
  <c r="K79" i="9"/>
  <c r="K81" i="9" s="1"/>
  <c r="G14" i="9"/>
  <c r="G15" i="9"/>
  <c r="G17" i="9" s="1"/>
  <c r="K68" i="9"/>
  <c r="K70" i="9" s="1"/>
  <c r="K72" i="9" s="1"/>
  <c r="K74" i="9" s="1"/>
  <c r="K75" i="9" s="1"/>
  <c r="M79" i="9"/>
  <c r="M81" i="9" s="1"/>
  <c r="G79" i="9"/>
  <c r="G81" i="9" s="1"/>
  <c r="K54" i="9"/>
  <c r="M40" i="9"/>
  <c r="G40" i="9"/>
  <c r="M26" i="9"/>
  <c r="G26" i="9"/>
  <c r="K11" i="9"/>
  <c r="K15" i="9" s="1"/>
  <c r="K80" i="9"/>
  <c r="K52" i="9"/>
  <c r="M38" i="9"/>
  <c r="G38" i="9"/>
  <c r="M24" i="9"/>
  <c r="G24" i="9"/>
  <c r="E64" i="7"/>
  <c r="E65" i="7" s="1"/>
  <c r="E67" i="7" s="1"/>
  <c r="I64" i="7"/>
  <c r="I65" i="7" s="1"/>
  <c r="I67" i="7" s="1"/>
  <c r="E53" i="7"/>
  <c r="I27" i="7"/>
  <c r="E27" i="7"/>
  <c r="M72" i="9" l="1"/>
  <c r="M74" i="9" s="1"/>
  <c r="M75" i="9" s="1"/>
  <c r="G72" i="9"/>
  <c r="G74" i="9" s="1"/>
  <c r="G75" i="9" s="1"/>
  <c r="K83" i="9"/>
  <c r="G62" i="9"/>
  <c r="K48" i="9"/>
  <c r="G19" i="9"/>
  <c r="G20" i="9" s="1"/>
  <c r="K34" i="9"/>
  <c r="K14" i="9"/>
  <c r="M83" i="9"/>
  <c r="M85" i="9" s="1"/>
  <c r="M86" i="9" s="1"/>
  <c r="G83" i="9"/>
  <c r="G85" i="9" s="1"/>
  <c r="G86" i="9" s="1"/>
  <c r="K85" i="9"/>
  <c r="K86" i="9" s="1"/>
  <c r="I66" i="7"/>
  <c r="E66" i="7"/>
  <c r="I28" i="7"/>
  <c r="E28" i="7"/>
  <c r="I12" i="7"/>
  <c r="E12" i="7"/>
  <c r="K62" i="9" l="1"/>
  <c r="M62" i="9"/>
  <c r="M48" i="9"/>
  <c r="M34" i="9"/>
  <c r="G48" i="9"/>
  <c r="G34" i="9"/>
  <c r="K17" i="9"/>
  <c r="K19" i="9" s="1"/>
  <c r="K20" i="9" s="1"/>
  <c r="I69" i="7"/>
  <c r="I71" i="7" s="1"/>
  <c r="I72" i="7" s="1"/>
  <c r="E69" i="7"/>
  <c r="E71" i="7" s="1"/>
  <c r="E72" i="7" s="1"/>
  <c r="I13" i="7"/>
  <c r="E13" i="7"/>
  <c r="K92" i="9" l="1"/>
  <c r="K90" i="9"/>
  <c r="K88" i="9"/>
  <c r="K93" i="9" s="1"/>
  <c r="K94" i="9" s="1"/>
  <c r="M90" i="9"/>
  <c r="M92" i="9"/>
  <c r="M88" i="9"/>
  <c r="M93" i="9" s="1"/>
  <c r="M94" i="9" s="1"/>
  <c r="M100" i="9" s="1"/>
  <c r="G92" i="9"/>
  <c r="G90" i="9"/>
  <c r="G88" i="9"/>
  <c r="G93" i="9" s="1"/>
  <c r="G94" i="9" s="1"/>
  <c r="G96" i="9" l="1"/>
  <c r="I41" i="7"/>
  <c r="E41" i="7"/>
  <c r="E52" i="7" l="1"/>
  <c r="I52" i="7"/>
  <c r="I7" i="7"/>
  <c r="I22" i="7"/>
  <c r="I36" i="7"/>
  <c r="I38" i="7" s="1"/>
  <c r="I51" i="7"/>
  <c r="E36" i="7"/>
  <c r="E51" i="7"/>
  <c r="E7" i="7"/>
  <c r="E22" i="7"/>
  <c r="E24" i="7" s="1"/>
  <c r="E38" i="7" l="1"/>
  <c r="E45" i="7" s="1"/>
  <c r="E54" i="7"/>
  <c r="E56" i="7" s="1"/>
  <c r="E55" i="7"/>
  <c r="I54" i="7"/>
  <c r="I56" i="7" s="1"/>
  <c r="I55" i="7"/>
  <c r="E9" i="7"/>
  <c r="I9" i="7"/>
  <c r="E26" i="7"/>
  <c r="E29" i="7" s="1"/>
  <c r="I11" i="7"/>
  <c r="E40" i="7"/>
  <c r="E44" i="7" s="1"/>
  <c r="E11" i="7"/>
  <c r="I40" i="7"/>
  <c r="I26" i="7"/>
  <c r="I24" i="7"/>
  <c r="E47" i="7" l="1"/>
  <c r="E15" i="7"/>
  <c r="I30" i="7"/>
  <c r="M95" i="9"/>
  <c r="M96" i="9" s="1"/>
  <c r="K96" i="9"/>
  <c r="E30" i="7"/>
  <c r="E31" i="7" s="1"/>
  <c r="E33" i="7" s="1"/>
  <c r="E34" i="7" s="1"/>
  <c r="I44" i="7"/>
  <c r="I45" i="7" s="1"/>
  <c r="I58" i="7"/>
  <c r="I60" i="7" s="1"/>
  <c r="E58" i="7"/>
  <c r="E60" i="7" s="1"/>
  <c r="E61" i="7" s="1"/>
  <c r="E14" i="7"/>
  <c r="E17" i="7" s="1"/>
  <c r="I14" i="7"/>
  <c r="I29" i="7"/>
  <c r="I31" i="7" s="1"/>
  <c r="I15" i="7"/>
  <c r="I17" i="7" l="1"/>
  <c r="E19" i="7"/>
  <c r="I19" i="7"/>
  <c r="I20" i="7" s="1"/>
  <c r="I47" i="7"/>
  <c r="I48" i="7" s="1"/>
  <c r="I33" i="7"/>
  <c r="E20" i="7"/>
  <c r="I61" i="7"/>
  <c r="E48" i="7"/>
  <c r="E78" i="7" l="1"/>
  <c r="E74" i="7"/>
  <c r="E79" i="7" s="1"/>
  <c r="E80" i="7" s="1"/>
  <c r="E76" i="7"/>
  <c r="I34" i="7"/>
  <c r="I74" i="7" s="1"/>
  <c r="E81" i="7" l="1"/>
  <c r="I78" i="7"/>
  <c r="I76" i="7"/>
  <c r="I79" i="7"/>
  <c r="I80" i="7" s="1"/>
  <c r="E84" i="7" l="1"/>
  <c r="G84" i="7" s="1"/>
  <c r="I84" i="7" s="1"/>
  <c r="K84" i="7" s="1"/>
  <c r="G81" i="7"/>
  <c r="E82" i="7"/>
  <c r="I81" i="7" l="1"/>
  <c r="G82" i="7"/>
  <c r="K81" i="7" l="1"/>
  <c r="K82" i="7" s="1"/>
  <c r="I82" i="7"/>
</calcChain>
</file>

<file path=xl/sharedStrings.xml><?xml version="1.0" encoding="utf-8"?>
<sst xmlns="http://schemas.openxmlformats.org/spreadsheetml/2006/main" count="365" uniqueCount="79">
  <si>
    <t>Наименование должности</t>
  </si>
  <si>
    <t>Показатели, используемые для расчёта норматива</t>
  </si>
  <si>
    <t>№ п/п</t>
  </si>
  <si>
    <t>Воспитатель</t>
  </si>
  <si>
    <t>Музыкальный руководитель</t>
  </si>
  <si>
    <t>количество штатных единиц</t>
  </si>
  <si>
    <t>Младший воспитатель</t>
  </si>
  <si>
    <t>12 часов-1 ясельная группа</t>
  </si>
  <si>
    <t>12 часов-1 дошкольная группа</t>
  </si>
  <si>
    <t>Размер заработной платы в соответствии с должностным окладом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</si>
  <si>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</si>
  <si>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</si>
  <si>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</si>
  <si>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</si>
  <si>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</si>
  <si>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</si>
  <si>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</si>
  <si>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Учитель-логопед, учитель-дефектолог</t>
  </si>
  <si>
    <t>10 часов-1 дошкольная группа</t>
  </si>
  <si>
    <t>Педагог-психолог</t>
  </si>
  <si>
    <t>Итого затраты на оплату труда музыкальных руководителей:</t>
  </si>
  <si>
    <t>Итого затраты на оплату труда инструктора по физической культуре:</t>
  </si>
  <si>
    <t>Итого затраты на оплату труда учителя-логопеда (учителя-дефектолога):</t>
  </si>
  <si>
    <t>Итого затраты на оплату труда педагога-воспитателя:</t>
  </si>
  <si>
    <t>Итого затраты на оплату труда младших воспитателей:</t>
  </si>
  <si>
    <t>10 часов-1 ясельная группа</t>
  </si>
  <si>
    <t>Инструктор по физической культуре</t>
  </si>
  <si>
    <t>Затраты на оплату труда АУП</t>
  </si>
  <si>
    <t>Итого затраты на оплату труда работников, непосредственно связанных с оказанием муниципальной услуги</t>
  </si>
  <si>
    <t>Затраты на оплату труда прочих педработников (старшие воспитатели), непосредственно связанных с оказанием муниципальной услуги</t>
  </si>
  <si>
    <t>До МРОТ</t>
  </si>
  <si>
    <t>Отпускные</t>
  </si>
  <si>
    <t>Надбавка за качество работы (20,0 % от ФЗП по окладам)</t>
  </si>
  <si>
    <t>Затраты на оплату труда прочих работников (МОП, кроме дворника, и делопроизводители), непосредственно связанных с оказанием муниципальной услуги</t>
  </si>
  <si>
    <t>Дворник</t>
  </si>
  <si>
    <t>Размер заработной платы в соответствии со ставкой заработной платы</t>
  </si>
  <si>
    <t>Надбавка за качество работы (20,0 % от ФЗП по тарифным ставкам)</t>
  </si>
  <si>
    <t>Итого затраты на оплату труда дворников:</t>
  </si>
  <si>
    <t>9 часов-1 дошкольная  группа</t>
  </si>
  <si>
    <t>Расчетная наполняемость групп, чел./норматив на 1-го воспитанника в год, руб.:</t>
  </si>
  <si>
    <t>Базовый норматив на затраты, непосредственно связанные с оказанием муниципальной услуги, руб.</t>
  </si>
  <si>
    <t>Доплата за работу в особых условиях (20%  от ставки заработной платы с надбавкой за квалификацию)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</si>
  <si>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</si>
  <si>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</si>
  <si>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Надбавка за интенсивность и высокие результаты работы (40,0 % от ФЗП по ставкам заработной платы)</t>
  </si>
  <si>
    <t>Надбавка за качество работы (20,0 % от ФЗП по ставкам заработной платы)</t>
  </si>
  <si>
    <t>Итого затраты на оплату труда педагога-психолога:</t>
  </si>
  <si>
    <t>Надбавка за квалификацию (максимально - 30% от ФЗП по должностным окладам)</t>
  </si>
  <si>
    <t>Доплата за работу в особых условиях (20%  от должностного оклада с надбавкой за квалификацию)</t>
  </si>
  <si>
    <t>Надбавка за интенсивность и высокие результаты работы (40,0 % от ФЗП по должностным окладам)</t>
  </si>
  <si>
    <t>Надбавка за качество работы (20,0 % от ФЗП по должностным окладам)</t>
  </si>
  <si>
    <t>Доплата за работу в особых условиях (20%  от должностного оклада)</t>
  </si>
  <si>
    <t>Надбавки за выслугу лет (максимально -30% от ФЗП по должностным окладам)</t>
  </si>
  <si>
    <t>Надбавки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</si>
  <si>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ставкам заработной платы)</t>
  </si>
  <si>
    <t>Надбавки за работу в сельской местности (25% от ФЗП по должностным окладам)</t>
  </si>
  <si>
    <t xml:space="preserve">19,2 % от ФОТ основного персонала  </t>
  </si>
  <si>
    <t>3,4 %*8489/7500 от ФОТ основного персонала</t>
  </si>
  <si>
    <t xml:space="preserve">2,8 % от ФОТ основного персонала  </t>
  </si>
  <si>
    <t>Затраты на оплату труда прочих работников (рабочие, кроме дворника, завхозы, делопроизводители), непосредственно связанных с оказанием муниципальной услуги</t>
  </si>
  <si>
    <t>Базовый норматив  затрат, непосредственно связанных с оказанием муниуципальной услуги, в части затрат на оплату труда, руб.</t>
  </si>
  <si>
    <t>Отраслевые  корректирующие коэффициенты затрат, непосредственно связанных с оказанием муниципальной услуги, в части затрат на оплату труда, учитывающие режим работы дошкольных 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</si>
  <si>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</si>
  <si>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</si>
  <si>
    <t>12 часов-1 дошкольная группа компенсирующей направленности (обучающиеся с ТНР и ЗПР)</t>
  </si>
  <si>
    <t>город</t>
  </si>
  <si>
    <t>село</t>
  </si>
  <si>
    <t xml:space="preserve">Реализация основных образовательных программ дошкольного образования </t>
  </si>
  <si>
    <t>дворники-42,7 ставки на 175 групп</t>
  </si>
  <si>
    <t>Базовый норматив на затраты, непосредственно связанные с оказанием муниципальной услуги, в части затрат на оплату труда руб.</t>
  </si>
  <si>
    <t>Отраслевые  корректирующие коэффициенты затрат, непосредственно связанных с оказанием муниципальной услуиг, в части затрат на оплаьу трудаучитывающие режим работы дошкольных образовательных организаций и специфику работы</t>
  </si>
  <si>
    <t>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</si>
  <si>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значения показателей, используемых для расчета норматива, руб.</t>
  </si>
  <si>
    <t>Базовый норматив на общехозяйственные затраты, руб.</t>
  </si>
  <si>
    <t>Базовый норматив  затрат, руб.</t>
  </si>
  <si>
    <t>Нормативные затраты на оказание муниципальной услуги, руб.</t>
  </si>
  <si>
    <t>Приложение №1</t>
  </si>
  <si>
    <t>Приложение №2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</si>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</sst>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" fontId="1" fillId="2" borderId="1" xfId="0" applyNumberFormat="1" applyFont="1" applyFill="1" applyBorder="1"/>
    <xf numFmtId="3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2" fillId="2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view="pageBreakPreview" zoomScale="64" zoomScaleNormal="81" zoomScaleSheetLayoutView="64" workbookViewId="0">
      <pane xSplit="3" ySplit="5" topLeftCell="D90" activePane="bottomRight" state="frozen"/>
      <selection pane="topRight" activeCell="D1" sqref="D1"/>
      <selection pane="bottomLeft" activeCell="A5" sqref="A5"/>
      <selection pane="bottomRight" activeCell="D2" sqref="D2:K2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7.85546875" style="1" customWidth="1"/>
    <col min="5" max="5" width="28.7109375" style="1" customWidth="1"/>
    <col min="6" max="6" width="18.28515625" style="1" customWidth="1"/>
    <col min="7" max="7" width="27.28515625" style="1" customWidth="1"/>
    <col min="8" max="8" width="13.42578125" style="1" customWidth="1"/>
    <col min="9" max="9" width="27.7109375" style="15" customWidth="1"/>
    <col min="10" max="10" width="18.140625" style="1" customWidth="1"/>
    <col min="11" max="11" width="27" style="1" customWidth="1"/>
    <col min="12" max="16384" width="9.140625" style="1"/>
  </cols>
  <sheetData>
    <row r="1" spans="1:11" ht="32.25" customHeight="1" x14ac:dyDescent="0.25">
      <c r="A1" s="49"/>
      <c r="B1" s="49"/>
      <c r="C1" s="49"/>
      <c r="D1" s="50"/>
      <c r="E1" s="50"/>
      <c r="F1" s="50"/>
      <c r="G1" s="50"/>
      <c r="H1" s="50"/>
      <c r="I1" s="50"/>
      <c r="K1" s="1" t="s">
        <v>76</v>
      </c>
    </row>
    <row r="2" spans="1:11" ht="39" customHeight="1" x14ac:dyDescent="0.25">
      <c r="A2" s="52" t="s">
        <v>2</v>
      </c>
      <c r="B2" s="52" t="s">
        <v>0</v>
      </c>
      <c r="C2" s="52" t="s">
        <v>1</v>
      </c>
      <c r="D2" s="51" t="s">
        <v>67</v>
      </c>
      <c r="E2" s="51"/>
      <c r="F2" s="51"/>
      <c r="G2" s="51"/>
      <c r="H2" s="51"/>
      <c r="I2" s="51"/>
      <c r="J2" s="51"/>
      <c r="K2" s="51"/>
    </row>
    <row r="3" spans="1:11" s="2" customFormat="1" ht="28.5" customHeight="1" x14ac:dyDescent="0.25">
      <c r="A3" s="53"/>
      <c r="B3" s="53"/>
      <c r="C3" s="53"/>
      <c r="D3" s="46" t="s">
        <v>25</v>
      </c>
      <c r="E3" s="48"/>
      <c r="F3" s="48"/>
      <c r="G3" s="47"/>
      <c r="H3" s="46" t="s">
        <v>7</v>
      </c>
      <c r="I3" s="48"/>
      <c r="J3" s="48"/>
      <c r="K3" s="47"/>
    </row>
    <row r="4" spans="1:11" s="2" customFormat="1" ht="28.5" customHeight="1" x14ac:dyDescent="0.25">
      <c r="A4" s="53"/>
      <c r="B4" s="53"/>
      <c r="C4" s="53"/>
      <c r="D4" s="46" t="s">
        <v>65</v>
      </c>
      <c r="E4" s="47"/>
      <c r="F4" s="46" t="s">
        <v>66</v>
      </c>
      <c r="G4" s="47"/>
      <c r="H4" s="46" t="s">
        <v>65</v>
      </c>
      <c r="I4" s="47"/>
      <c r="J4" s="46" t="s">
        <v>66</v>
      </c>
      <c r="K4" s="47"/>
    </row>
    <row r="5" spans="1:11" ht="48.75" customHeight="1" x14ac:dyDescent="0.25">
      <c r="A5" s="54"/>
      <c r="B5" s="54"/>
      <c r="C5" s="54"/>
      <c r="D5" s="25" t="s">
        <v>5</v>
      </c>
      <c r="E5" s="31" t="s">
        <v>72</v>
      </c>
      <c r="F5" s="25" t="s">
        <v>5</v>
      </c>
      <c r="G5" s="31" t="s">
        <v>72</v>
      </c>
      <c r="H5" s="25" t="s">
        <v>5</v>
      </c>
      <c r="I5" s="31" t="s">
        <v>72</v>
      </c>
      <c r="J5" s="26" t="s">
        <v>5</v>
      </c>
      <c r="K5" s="31" t="s">
        <v>72</v>
      </c>
    </row>
    <row r="6" spans="1:11" ht="45" x14ac:dyDescent="0.25">
      <c r="A6" s="3">
        <v>1</v>
      </c>
      <c r="B6" s="4" t="s">
        <v>3</v>
      </c>
      <c r="C6" s="6" t="s">
        <v>35</v>
      </c>
      <c r="D6" s="29">
        <v>1.39</v>
      </c>
      <c r="E6" s="29">
        <f>ROUND(8570*1.0075*D6,2)</f>
        <v>12001.64</v>
      </c>
      <c r="F6" s="29">
        <v>1.39</v>
      </c>
      <c r="G6" s="29">
        <f>ROUND(8570*1.0075*F6,2)</f>
        <v>12001.64</v>
      </c>
      <c r="H6" s="30">
        <v>2</v>
      </c>
      <c r="I6" s="29">
        <f>ROUND(8570*1.0075*H6,2)</f>
        <v>17268.55</v>
      </c>
      <c r="J6" s="7">
        <v>2</v>
      </c>
      <c r="K6" s="7">
        <f>ROUND(8570*1.0075*J6,2)</f>
        <v>17268.55</v>
      </c>
    </row>
    <row r="7" spans="1:11" ht="57.75" customHeight="1" x14ac:dyDescent="0.25">
      <c r="A7" s="3"/>
      <c r="B7" s="4"/>
      <c r="C7" s="6" t="s">
        <v>42</v>
      </c>
      <c r="D7" s="7"/>
      <c r="E7" s="7">
        <f>ROUND(E6*0.3,2)</f>
        <v>3600.49</v>
      </c>
      <c r="F7" s="7"/>
      <c r="G7" s="7">
        <f>ROUND(G6*0.3,2)</f>
        <v>3600.49</v>
      </c>
      <c r="H7" s="11"/>
      <c r="I7" s="11">
        <f>ROUND(I6*0.3,2)</f>
        <v>5180.57</v>
      </c>
      <c r="J7" s="7"/>
      <c r="K7" s="7">
        <f>ROUND(K6*0.3,2)</f>
        <v>5180.57</v>
      </c>
    </row>
    <row r="8" spans="1:11" ht="48" customHeight="1" x14ac:dyDescent="0.25">
      <c r="A8" s="3"/>
      <c r="B8" s="4"/>
      <c r="C8" s="6" t="s">
        <v>41</v>
      </c>
      <c r="D8" s="7"/>
      <c r="E8" s="7"/>
      <c r="F8" s="7"/>
      <c r="G8" s="7"/>
      <c r="H8" s="11"/>
      <c r="I8" s="11"/>
      <c r="J8" s="7"/>
      <c r="K8" s="7"/>
    </row>
    <row r="9" spans="1:11" ht="60" customHeight="1" x14ac:dyDescent="0.25">
      <c r="A9" s="4"/>
      <c r="B9" s="4"/>
      <c r="C9" s="6" t="s">
        <v>43</v>
      </c>
      <c r="D9" s="5"/>
      <c r="E9" s="7">
        <f>ROUND((E6+E7)*0.3,2)</f>
        <v>4680.6400000000003</v>
      </c>
      <c r="F9" s="7"/>
      <c r="G9" s="7">
        <f>ROUND((G6+G7)*0.3,2)</f>
        <v>4680.6400000000003</v>
      </c>
      <c r="H9" s="12"/>
      <c r="I9" s="11">
        <f>ROUND((I6+I7)*0.3,2)</f>
        <v>6734.74</v>
      </c>
      <c r="J9" s="5"/>
      <c r="K9" s="7">
        <f>ROUND((K6+K7)*0.3,2)</f>
        <v>6734.74</v>
      </c>
    </row>
    <row r="10" spans="1:11" ht="51.75" customHeight="1" x14ac:dyDescent="0.25">
      <c r="A10" s="4"/>
      <c r="B10" s="4"/>
      <c r="C10" s="6" t="s">
        <v>54</v>
      </c>
      <c r="D10" s="7"/>
      <c r="E10" s="7"/>
      <c r="F10" s="7"/>
      <c r="G10" s="7">
        <f t="shared" ref="G10" si="0">ROUND(G6*0.25,2)</f>
        <v>3000.41</v>
      </c>
      <c r="H10" s="7"/>
      <c r="I10" s="11"/>
      <c r="J10" s="7"/>
      <c r="K10" s="7">
        <f t="shared" ref="K10" si="1">ROUND(K6*0.25,2)</f>
        <v>4317.1400000000003</v>
      </c>
    </row>
    <row r="11" spans="1:11" ht="46.5" customHeight="1" x14ac:dyDescent="0.25">
      <c r="A11" s="4"/>
      <c r="B11" s="4"/>
      <c r="C11" s="6" t="s">
        <v>10</v>
      </c>
      <c r="D11" s="7"/>
      <c r="E11" s="7">
        <f t="shared" ref="E11:I11" si="2">ROUND((E6+E7)*0.05,2)</f>
        <v>780.11</v>
      </c>
      <c r="F11" s="7"/>
      <c r="G11" s="7">
        <f t="shared" ref="G11" si="3">ROUND((G6+G7)*0.05,2)</f>
        <v>780.11</v>
      </c>
      <c r="H11" s="7"/>
      <c r="I11" s="7">
        <f t="shared" si="2"/>
        <v>1122.46</v>
      </c>
      <c r="J11" s="7"/>
      <c r="K11" s="7">
        <f t="shared" ref="K11" si="4">ROUND((K6+K7)*0.05,2)</f>
        <v>1122.46</v>
      </c>
    </row>
    <row r="12" spans="1:11" ht="61.5" customHeight="1" x14ac:dyDescent="0.25">
      <c r="A12" s="4"/>
      <c r="B12" s="4"/>
      <c r="C12" s="6" t="s">
        <v>44</v>
      </c>
      <c r="D12" s="7"/>
      <c r="E12" s="7">
        <f t="shared" ref="E12:I12" si="5">ROUND(E6*0.4,2)</f>
        <v>4800.66</v>
      </c>
      <c r="F12" s="7"/>
      <c r="G12" s="7">
        <f t="shared" ref="G12" si="6">ROUND(G6*0.4,2)</f>
        <v>4800.66</v>
      </c>
      <c r="H12" s="7"/>
      <c r="I12" s="7">
        <f t="shared" si="5"/>
        <v>6907.42</v>
      </c>
      <c r="J12" s="7"/>
      <c r="K12" s="7">
        <f t="shared" ref="K12" si="7">ROUND(K6*0.4,2)</f>
        <v>6907.42</v>
      </c>
    </row>
    <row r="13" spans="1:11" ht="39.75" customHeight="1" x14ac:dyDescent="0.25">
      <c r="A13" s="4"/>
      <c r="B13" s="4"/>
      <c r="C13" s="6" t="s">
        <v>45</v>
      </c>
      <c r="D13" s="7"/>
      <c r="E13" s="7">
        <f>ROUND(E6*0.2,2)</f>
        <v>2400.33</v>
      </c>
      <c r="F13" s="7"/>
      <c r="G13" s="7">
        <f>ROUND(G6*0.2,2)</f>
        <v>2400.33</v>
      </c>
      <c r="H13" s="7"/>
      <c r="I13" s="7">
        <f>ROUND(I6*0.2,2)</f>
        <v>3453.71</v>
      </c>
      <c r="J13" s="7"/>
      <c r="K13" s="7">
        <f>ROUND(K6*0.2,2)</f>
        <v>3453.71</v>
      </c>
    </row>
    <row r="14" spans="1:11" ht="28.5" customHeight="1" x14ac:dyDescent="0.25">
      <c r="A14" s="4"/>
      <c r="B14" s="4"/>
      <c r="C14" s="4" t="s">
        <v>11</v>
      </c>
      <c r="D14" s="7"/>
      <c r="E14" s="7">
        <f t="shared" ref="E14:I14" si="8">ROUND((E6+E7+E8+E9+E10+E11+E12+E13)*0.05,2)</f>
        <v>1413.19</v>
      </c>
      <c r="F14" s="7"/>
      <c r="G14" s="7">
        <f t="shared" ref="G14" si="9">ROUND((G6+G7+G8+G9+G10+G11+G12+G13)*0.05,2)</f>
        <v>1563.21</v>
      </c>
      <c r="H14" s="7"/>
      <c r="I14" s="7">
        <f t="shared" si="8"/>
        <v>2033.37</v>
      </c>
      <c r="J14" s="7"/>
      <c r="K14" s="7">
        <f t="shared" ref="K14" si="10">ROUND((K6+K7+K8+K9+K10+K11+K12+K13)*0.05,2)</f>
        <v>2249.23</v>
      </c>
    </row>
    <row r="15" spans="1:11" ht="24.75" customHeight="1" x14ac:dyDescent="0.25">
      <c r="A15" s="4"/>
      <c r="B15" s="4"/>
      <c r="C15" s="4" t="s">
        <v>12</v>
      </c>
      <c r="D15" s="3"/>
      <c r="E15" s="3">
        <f t="shared" ref="E15:I15" si="11">ROUND((E6+E7+E8+E9+E10+E11+E12+E13)*0.01,2)</f>
        <v>282.64</v>
      </c>
      <c r="F15" s="3"/>
      <c r="G15" s="3">
        <f t="shared" ref="G15" si="12">ROUND((G6+G7+G8+G9+G10+G11+G12+G13)*0.01,2)</f>
        <v>312.64</v>
      </c>
      <c r="H15" s="3"/>
      <c r="I15" s="3">
        <f t="shared" si="11"/>
        <v>406.67</v>
      </c>
      <c r="J15" s="3"/>
      <c r="K15" s="3">
        <f t="shared" ref="K15" si="13">ROUND((K6+K7+K8+K9+K10+K11+K12+K13)*0.01,2)</f>
        <v>449.85</v>
      </c>
    </row>
    <row r="16" spans="1:11" ht="24.75" customHeight="1" x14ac:dyDescent="0.25">
      <c r="A16" s="4"/>
      <c r="B16" s="4"/>
      <c r="C16" s="4" t="s">
        <v>31</v>
      </c>
      <c r="D16" s="7"/>
      <c r="E16" s="7">
        <f>ROUND(27031.7/29.3*42/12*D6,2)</f>
        <v>4488.37</v>
      </c>
      <c r="F16" s="7"/>
      <c r="G16" s="7">
        <f>ROUND(27031.7/29.3*42/12*F6,2)</f>
        <v>4488.37</v>
      </c>
      <c r="H16" s="7"/>
      <c r="I16" s="7">
        <f>ROUND(27031.7/29.3*42/12*H6,2)</f>
        <v>6458.09</v>
      </c>
      <c r="J16" s="7"/>
      <c r="K16" s="7">
        <f>ROUND(27031.7/29.3*42/12*J6,2)</f>
        <v>6458.09</v>
      </c>
    </row>
    <row r="17" spans="1:11" ht="39" customHeight="1" x14ac:dyDescent="0.25">
      <c r="A17" s="4"/>
      <c r="B17" s="4"/>
      <c r="C17" s="6" t="s">
        <v>13</v>
      </c>
      <c r="D17" s="9"/>
      <c r="E17" s="9">
        <f>ROUND((E6+E7+E8+E9+E10+E11+E12+E14+E15+E16+E13)*0.302,2)</f>
        <v>10403.32</v>
      </c>
      <c r="F17" s="9"/>
      <c r="G17" s="9">
        <f>ROUND((G6+G7+G8+G9+G10+G11+G12+G14+G15+G16+G13)*0.302,2)</f>
        <v>11363.81</v>
      </c>
      <c r="H17" s="9"/>
      <c r="I17" s="9">
        <f>ROUND((I6+I7+I8+I9+I10+I11+I12+I14+I15+I16+I13)*0.302,2)</f>
        <v>14968.81</v>
      </c>
      <c r="J17" s="7"/>
      <c r="K17" s="9">
        <f>ROUND((K6+K7+K8+K9+K10+K11+K12+K14+K15+K16+K13)*0.302,2)</f>
        <v>16350.81</v>
      </c>
    </row>
    <row r="18" spans="1:11" ht="36" customHeight="1" x14ac:dyDescent="0.25">
      <c r="A18" s="4"/>
      <c r="B18" s="4"/>
      <c r="C18" s="6" t="s">
        <v>16</v>
      </c>
      <c r="D18" s="7"/>
      <c r="E18" s="7"/>
      <c r="F18" s="7"/>
      <c r="G18" s="7"/>
      <c r="H18" s="7"/>
      <c r="I18" s="7"/>
      <c r="J18" s="7"/>
      <c r="K18" s="7"/>
    </row>
    <row r="19" spans="1:11" ht="23.25" customHeight="1" x14ac:dyDescent="0.25">
      <c r="A19" s="4"/>
      <c r="B19" s="4"/>
      <c r="C19" s="8" t="s">
        <v>14</v>
      </c>
      <c r="D19" s="7"/>
      <c r="E19" s="7">
        <f>E6+E7+E8+E9+E10+E11+E12+E14+E15+E17+E16+E13</f>
        <v>44851.390000000007</v>
      </c>
      <c r="F19" s="7"/>
      <c r="G19" s="7">
        <f>G6+G7+G8+G9+G10+G11+G12+G14+G15+G17+G16+G13</f>
        <v>48992.310000000005</v>
      </c>
      <c r="H19" s="7"/>
      <c r="I19" s="7">
        <f>I6+I7+I8+I9+I10+I11+I12+I14+I15+I17+I16+I13</f>
        <v>64534.389999999992</v>
      </c>
      <c r="J19" s="7"/>
      <c r="K19" s="7">
        <f>K6+K7+K8+K9+K10+K11+K12+K14+K15+K17+K16+K13</f>
        <v>70492.570000000007</v>
      </c>
    </row>
    <row r="20" spans="1:11" ht="24.75" customHeight="1" x14ac:dyDescent="0.25">
      <c r="A20" s="4"/>
      <c r="B20" s="4"/>
      <c r="C20" s="8" t="s">
        <v>15</v>
      </c>
      <c r="D20" s="5"/>
      <c r="E20" s="7">
        <f>ROUND(E19*12,2)</f>
        <v>538216.68000000005</v>
      </c>
      <c r="F20" s="7"/>
      <c r="G20" s="7">
        <f>ROUND(G19*12,2)</f>
        <v>587907.72</v>
      </c>
      <c r="H20" s="12"/>
      <c r="I20" s="11">
        <f>ROUND(I19*12,2)</f>
        <v>774412.68</v>
      </c>
      <c r="J20" s="5"/>
      <c r="K20" s="7">
        <f>ROUND(K19*12,2)</f>
        <v>845910.84</v>
      </c>
    </row>
    <row r="21" spans="1:11" ht="45" x14ac:dyDescent="0.25">
      <c r="A21" s="3">
        <v>2</v>
      </c>
      <c r="B21" s="6" t="s">
        <v>4</v>
      </c>
      <c r="C21" s="6" t="s">
        <v>35</v>
      </c>
      <c r="D21" s="7">
        <v>0.25</v>
      </c>
      <c r="E21" s="7">
        <f>ROUND(7793*1.0075*D21,2)</f>
        <v>1962.86</v>
      </c>
      <c r="F21" s="7">
        <v>0.25</v>
      </c>
      <c r="G21" s="7">
        <f>ROUND(7793*1.0075*F21,2)</f>
        <v>1962.86</v>
      </c>
      <c r="H21" s="14">
        <v>0.25</v>
      </c>
      <c r="I21" s="7">
        <f>ROUND(7793*1.0075*H21,2)</f>
        <v>1962.86</v>
      </c>
      <c r="J21" s="3">
        <v>0.25</v>
      </c>
      <c r="K21" s="7">
        <f>ROUND(7793*1.0075*J21,2)</f>
        <v>1962.86</v>
      </c>
    </row>
    <row r="22" spans="1:11" ht="45" x14ac:dyDescent="0.25">
      <c r="A22" s="4"/>
      <c r="B22" s="4"/>
      <c r="C22" s="6" t="s">
        <v>42</v>
      </c>
      <c r="D22" s="5"/>
      <c r="E22" s="7">
        <f>ROUND(E21*0.3,2)</f>
        <v>588.86</v>
      </c>
      <c r="F22" s="7"/>
      <c r="G22" s="7">
        <f>ROUND(G21*0.3,2)</f>
        <v>588.86</v>
      </c>
      <c r="H22" s="14"/>
      <c r="I22" s="11">
        <f>ROUND(I21*0.3,2)</f>
        <v>588.86</v>
      </c>
      <c r="J22" s="3"/>
      <c r="K22" s="7">
        <f>ROUND(K21*0.3,2)</f>
        <v>588.86</v>
      </c>
    </row>
    <row r="23" spans="1:11" ht="45.75" customHeight="1" x14ac:dyDescent="0.25">
      <c r="A23" s="4"/>
      <c r="B23" s="4"/>
      <c r="C23" s="6" t="s">
        <v>41</v>
      </c>
      <c r="D23" s="5"/>
      <c r="E23" s="7"/>
      <c r="F23" s="7"/>
      <c r="G23" s="7"/>
      <c r="H23" s="14"/>
      <c r="I23" s="11"/>
      <c r="J23" s="3"/>
      <c r="K23" s="7"/>
    </row>
    <row r="24" spans="1:11" ht="60" x14ac:dyDescent="0.25">
      <c r="A24" s="4"/>
      <c r="B24" s="4"/>
      <c r="C24" s="6" t="s">
        <v>43</v>
      </c>
      <c r="D24" s="5"/>
      <c r="E24" s="7">
        <f>ROUND((E21+E22)*0.3,2)</f>
        <v>765.52</v>
      </c>
      <c r="F24" s="7"/>
      <c r="G24" s="7">
        <f>ROUND((G21+G22)*0.3,2)</f>
        <v>765.52</v>
      </c>
      <c r="H24" s="14"/>
      <c r="I24" s="11">
        <f>ROUND((I21+I22)*0.3,2)</f>
        <v>765.52</v>
      </c>
      <c r="J24" s="3"/>
      <c r="K24" s="7">
        <f>ROUND((K21+K22)*0.3,2)</f>
        <v>765.52</v>
      </c>
    </row>
    <row r="25" spans="1:11" ht="49.5" customHeight="1" x14ac:dyDescent="0.25">
      <c r="A25" s="4"/>
      <c r="B25" s="4"/>
      <c r="C25" s="6" t="s">
        <v>54</v>
      </c>
      <c r="D25" s="5"/>
      <c r="E25" s="7"/>
      <c r="F25" s="7"/>
      <c r="G25" s="7">
        <f>ROUND(G21*0.25,2)</f>
        <v>490.72</v>
      </c>
      <c r="H25" s="14"/>
      <c r="I25" s="11"/>
      <c r="J25" s="3"/>
      <c r="K25" s="7">
        <f>ROUND(K21*0.25,2)</f>
        <v>490.72</v>
      </c>
    </row>
    <row r="26" spans="1:11" ht="45" x14ac:dyDescent="0.25">
      <c r="A26" s="4"/>
      <c r="B26" s="4"/>
      <c r="C26" s="6" t="s">
        <v>10</v>
      </c>
      <c r="D26" s="7"/>
      <c r="E26" s="7">
        <f t="shared" ref="E26:I26" si="14">ROUND((E21+E22)*0.05,2)</f>
        <v>127.59</v>
      </c>
      <c r="F26" s="7"/>
      <c r="G26" s="7">
        <f t="shared" ref="G26" si="15">ROUND((G21+G22)*0.05,2)</f>
        <v>127.59</v>
      </c>
      <c r="H26" s="7"/>
      <c r="I26" s="7">
        <f t="shared" si="14"/>
        <v>127.59</v>
      </c>
      <c r="J26" s="7"/>
      <c r="K26" s="7">
        <f t="shared" ref="K26" si="16">ROUND((K21+K22)*0.05,2)</f>
        <v>127.59</v>
      </c>
    </row>
    <row r="27" spans="1:11" ht="45" x14ac:dyDescent="0.25">
      <c r="A27" s="4"/>
      <c r="B27" s="4"/>
      <c r="C27" s="6" t="s">
        <v>44</v>
      </c>
      <c r="D27" s="7"/>
      <c r="E27" s="7">
        <f t="shared" ref="E27:I27" si="17">ROUND(E21*0.4,2)</f>
        <v>785.14</v>
      </c>
      <c r="F27" s="7"/>
      <c r="G27" s="7">
        <f t="shared" ref="G27" si="18">ROUND(G21*0.4,2)</f>
        <v>785.14</v>
      </c>
      <c r="H27" s="7"/>
      <c r="I27" s="7">
        <f t="shared" si="17"/>
        <v>785.14</v>
      </c>
      <c r="J27" s="7"/>
      <c r="K27" s="7">
        <f t="shared" ref="K27" si="19">ROUND(K21*0.4,2)</f>
        <v>785.14</v>
      </c>
    </row>
    <row r="28" spans="1:11" ht="35.25" customHeight="1" x14ac:dyDescent="0.25">
      <c r="A28" s="4"/>
      <c r="B28" s="4"/>
      <c r="C28" s="6" t="s">
        <v>45</v>
      </c>
      <c r="D28" s="7"/>
      <c r="E28" s="7">
        <f t="shared" ref="E28:I28" si="20">ROUND(E21*0.2,2)</f>
        <v>392.57</v>
      </c>
      <c r="F28" s="7"/>
      <c r="G28" s="7">
        <f t="shared" ref="G28" si="21">ROUND(G21*0.2,2)</f>
        <v>392.57</v>
      </c>
      <c r="H28" s="7"/>
      <c r="I28" s="7">
        <f t="shared" si="20"/>
        <v>392.57</v>
      </c>
      <c r="J28" s="7"/>
      <c r="K28" s="7">
        <f t="shared" ref="K28" si="22">ROUND(K21*0.2,2)</f>
        <v>392.57</v>
      </c>
    </row>
    <row r="29" spans="1:11" x14ac:dyDescent="0.25">
      <c r="A29" s="4"/>
      <c r="B29" s="4"/>
      <c r="C29" s="4" t="s">
        <v>11</v>
      </c>
      <c r="D29" s="7"/>
      <c r="E29" s="7">
        <f t="shared" ref="E29:I29" si="23">ROUND((E21+E22+E23++E24+E25+E26+E27+E28)*0.05,2)</f>
        <v>231.13</v>
      </c>
      <c r="F29" s="7"/>
      <c r="G29" s="7">
        <f t="shared" ref="G29" si="24">ROUND((G21+G22+G23++G24+G25+G26+G27+G28)*0.05,2)</f>
        <v>255.66</v>
      </c>
      <c r="H29" s="7"/>
      <c r="I29" s="7">
        <f t="shared" si="23"/>
        <v>231.13</v>
      </c>
      <c r="J29" s="7"/>
      <c r="K29" s="7">
        <f t="shared" ref="K29" si="25">ROUND((K21+K22+K23++K24+K25+K26+K27+K28)*0.05,2)</f>
        <v>255.66</v>
      </c>
    </row>
    <row r="30" spans="1:11" x14ac:dyDescent="0.25">
      <c r="A30" s="4"/>
      <c r="B30" s="4"/>
      <c r="C30" s="4" t="s">
        <v>12</v>
      </c>
      <c r="D30" s="3"/>
      <c r="E30" s="3">
        <f t="shared" ref="E30:I30" si="26">ROUND((E21+E22+E23+E24+E25+E26+E27+E28)*0.01,2)</f>
        <v>46.23</v>
      </c>
      <c r="F30" s="3"/>
      <c r="G30" s="3">
        <f t="shared" ref="G30" si="27">ROUND((G21+G22+G23+G24+G25+G26+G27+G28)*0.01,2)</f>
        <v>51.13</v>
      </c>
      <c r="H30" s="3"/>
      <c r="I30" s="3">
        <f t="shared" si="26"/>
        <v>46.23</v>
      </c>
      <c r="J30" s="3"/>
      <c r="K30" s="3">
        <f t="shared" ref="K30" si="28">ROUND((K21+K22+K23+K24+K25+K26+K27+K28)*0.01,2)</f>
        <v>51.13</v>
      </c>
    </row>
    <row r="31" spans="1:11" ht="30" x14ac:dyDescent="0.25">
      <c r="A31" s="4"/>
      <c r="B31" s="4"/>
      <c r="C31" s="6" t="s">
        <v>13</v>
      </c>
      <c r="D31" s="9"/>
      <c r="E31" s="9">
        <f t="shared" ref="E31:I31" si="29">ROUND((E21+E22+E23+E24+E25+E26+E27+E29+E30+E28)*0.302,2)</f>
        <v>1479.77</v>
      </c>
      <c r="F31" s="9"/>
      <c r="G31" s="9">
        <f t="shared" ref="G31" si="30">ROUND((G21+G22+G23+G24+G25+G26+G27+G29+G30+G28)*0.302,2)</f>
        <v>1636.86</v>
      </c>
      <c r="H31" s="9"/>
      <c r="I31" s="9">
        <f t="shared" si="29"/>
        <v>1479.77</v>
      </c>
      <c r="J31" s="7"/>
      <c r="K31" s="7">
        <f t="shared" ref="K31" si="31">ROUND((K21+K22+K23+K24+K25+K26+K27+K29+K30+K28)*0.302,2)</f>
        <v>1636.86</v>
      </c>
    </row>
    <row r="32" spans="1:11" ht="52.5" customHeight="1" x14ac:dyDescent="0.25">
      <c r="A32" s="4"/>
      <c r="B32" s="4"/>
      <c r="C32" s="6" t="s">
        <v>20</v>
      </c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4"/>
      <c r="B33" s="4"/>
      <c r="C33" s="8" t="s">
        <v>14</v>
      </c>
      <c r="D33" s="7"/>
      <c r="E33" s="7">
        <f t="shared" ref="E33:I33" si="32">E21+E22+E23+E24+E25+E26+E27+E29+E30+E31+E28</f>
        <v>6379.67</v>
      </c>
      <c r="F33" s="7"/>
      <c r="G33" s="7">
        <f t="shared" ref="G33" si="33">G21+G22+G23+G24+G25+G26+G27+G29+G30+G31+G28</f>
        <v>7056.91</v>
      </c>
      <c r="H33" s="7"/>
      <c r="I33" s="7">
        <f t="shared" si="32"/>
        <v>6379.67</v>
      </c>
      <c r="J33" s="7"/>
      <c r="K33" s="7">
        <f t="shared" ref="K33" si="34">K21+K22+K23+K24+K25+K26+K27+K29+K30+K31+K28</f>
        <v>7056.91</v>
      </c>
    </row>
    <row r="34" spans="1:11" x14ac:dyDescent="0.25">
      <c r="A34" s="4"/>
      <c r="B34" s="4"/>
      <c r="C34" s="8" t="s">
        <v>15</v>
      </c>
      <c r="D34" s="5"/>
      <c r="E34" s="7">
        <f>ROUND(E33*12,2)</f>
        <v>76556.039999999994</v>
      </c>
      <c r="F34" s="7"/>
      <c r="G34" s="7">
        <f>ROUND(G33*12,2)</f>
        <v>84682.92</v>
      </c>
      <c r="H34" s="14"/>
      <c r="I34" s="11">
        <f>ROUND(I33*12,2)</f>
        <v>76556.039999999994</v>
      </c>
      <c r="J34" s="3"/>
      <c r="K34" s="7">
        <f>ROUND(K33*12,2)</f>
        <v>84682.92</v>
      </c>
    </row>
    <row r="35" spans="1:11" ht="30" x14ac:dyDescent="0.25">
      <c r="A35" s="3">
        <v>3</v>
      </c>
      <c r="B35" s="6" t="s">
        <v>19</v>
      </c>
      <c r="C35" s="6" t="s">
        <v>9</v>
      </c>
      <c r="D35" s="16">
        <v>8.3000000000000004E-2</v>
      </c>
      <c r="E35" s="7">
        <f>ROUND(8570*1.0075*D35,2)</f>
        <v>716.64</v>
      </c>
      <c r="F35" s="7">
        <v>8.3000000000000004E-2</v>
      </c>
      <c r="G35" s="7">
        <f>ROUND(8570*1.0075*F35,2)</f>
        <v>716.64</v>
      </c>
      <c r="H35" s="16">
        <v>8.3000000000000004E-2</v>
      </c>
      <c r="I35" s="7">
        <f>ROUND(8570*1.0075*H35,2)</f>
        <v>716.64</v>
      </c>
      <c r="J35" s="16">
        <v>8.3000000000000004E-2</v>
      </c>
      <c r="K35" s="7">
        <f>ROUND(8570*1.0075*J35,2)</f>
        <v>716.64</v>
      </c>
    </row>
    <row r="36" spans="1:11" ht="45" x14ac:dyDescent="0.25">
      <c r="A36" s="4"/>
      <c r="B36" s="4"/>
      <c r="C36" s="6" t="s">
        <v>47</v>
      </c>
      <c r="D36" s="5"/>
      <c r="E36" s="7">
        <f>ROUND(E35*0.3,2)</f>
        <v>214.99</v>
      </c>
      <c r="F36" s="7"/>
      <c r="G36" s="7">
        <f>ROUND(G35*0.3,2)</f>
        <v>214.99</v>
      </c>
      <c r="H36" s="14"/>
      <c r="I36" s="11">
        <f>ROUND(I35*0.3,2)</f>
        <v>214.99</v>
      </c>
      <c r="J36" s="3"/>
      <c r="K36" s="7">
        <f>ROUND(K35*0.3,2)</f>
        <v>214.99</v>
      </c>
    </row>
    <row r="37" spans="1:11" ht="45" x14ac:dyDescent="0.25">
      <c r="A37" s="4"/>
      <c r="B37" s="4"/>
      <c r="C37" s="6" t="s">
        <v>48</v>
      </c>
      <c r="D37" s="5"/>
      <c r="E37" s="7"/>
      <c r="F37" s="7"/>
      <c r="G37" s="7"/>
      <c r="H37" s="14"/>
      <c r="I37" s="11"/>
      <c r="J37" s="3"/>
      <c r="K37" s="7"/>
    </row>
    <row r="38" spans="1:11" ht="60" x14ac:dyDescent="0.25">
      <c r="A38" s="4"/>
      <c r="B38" s="4"/>
      <c r="C38" s="6" t="s">
        <v>53</v>
      </c>
      <c r="D38" s="5"/>
      <c r="E38" s="7">
        <f>ROUND((E35+E36)*0.3,2)</f>
        <v>279.49</v>
      </c>
      <c r="F38" s="7"/>
      <c r="G38" s="7">
        <f>ROUND((G35+G36)*0.3,2)</f>
        <v>279.49</v>
      </c>
      <c r="H38" s="14"/>
      <c r="I38" s="11">
        <f>ROUND((I35+I36)*0.3,2)</f>
        <v>279.49</v>
      </c>
      <c r="J38" s="3"/>
      <c r="K38" s="7">
        <f>ROUND((K35+K36)*0.3,2)</f>
        <v>279.49</v>
      </c>
    </row>
    <row r="39" spans="1:11" ht="60.75" customHeight="1" x14ac:dyDescent="0.25">
      <c r="A39" s="4"/>
      <c r="B39" s="4"/>
      <c r="C39" s="6" t="s">
        <v>55</v>
      </c>
      <c r="D39" s="7"/>
      <c r="E39" s="7"/>
      <c r="F39" s="7"/>
      <c r="G39" s="7">
        <f t="shared" ref="G39" si="35">ROUND(G35*0.25,2)</f>
        <v>179.16</v>
      </c>
      <c r="H39" s="7"/>
      <c r="I39" s="11"/>
      <c r="J39" s="7"/>
      <c r="K39" s="7">
        <f t="shared" ref="K39" si="36">ROUND(K35*0.25,2)</f>
        <v>179.16</v>
      </c>
    </row>
    <row r="40" spans="1:11" ht="45.75" customHeight="1" x14ac:dyDescent="0.25">
      <c r="A40" s="4"/>
      <c r="B40" s="4"/>
      <c r="C40" s="6" t="s">
        <v>10</v>
      </c>
      <c r="D40" s="7"/>
      <c r="E40" s="7">
        <f t="shared" ref="E40:I40" si="37">ROUND((E35+E36)*0.05,2)</f>
        <v>46.58</v>
      </c>
      <c r="F40" s="7"/>
      <c r="G40" s="7">
        <f t="shared" ref="G40" si="38">ROUND((G35+G36)*0.05,2)</f>
        <v>46.58</v>
      </c>
      <c r="H40" s="7"/>
      <c r="I40" s="7">
        <f t="shared" si="37"/>
        <v>46.58</v>
      </c>
      <c r="J40" s="7"/>
      <c r="K40" s="7">
        <f t="shared" ref="K40" si="39">ROUND((K35+K36)*0.05,2)</f>
        <v>46.58</v>
      </c>
    </row>
    <row r="41" spans="1:11" ht="45" x14ac:dyDescent="0.25">
      <c r="A41" s="4"/>
      <c r="B41" s="4"/>
      <c r="C41" s="6" t="s">
        <v>10</v>
      </c>
      <c r="D41" s="7"/>
      <c r="E41" s="7">
        <f t="shared" ref="E41:I41" si="40">ROUND(E35*0.4,2)</f>
        <v>286.66000000000003</v>
      </c>
      <c r="F41" s="7"/>
      <c r="G41" s="7">
        <f t="shared" ref="G41" si="41">ROUND(G35*0.4,2)</f>
        <v>286.66000000000003</v>
      </c>
      <c r="H41" s="7"/>
      <c r="I41" s="7">
        <f t="shared" si="40"/>
        <v>286.66000000000003</v>
      </c>
      <c r="J41" s="7"/>
      <c r="K41" s="7">
        <f t="shared" ref="K41" si="42">ROUND(K35*0.4,2)</f>
        <v>286.66000000000003</v>
      </c>
    </row>
    <row r="42" spans="1:11" ht="52.5" customHeight="1" x14ac:dyDescent="0.25">
      <c r="A42" s="4"/>
      <c r="B42" s="4"/>
      <c r="C42" s="6" t="s">
        <v>49</v>
      </c>
      <c r="D42" s="7"/>
      <c r="E42" s="7">
        <f>ROUND(E35*0.4,2)</f>
        <v>286.66000000000003</v>
      </c>
      <c r="F42" s="7"/>
      <c r="G42" s="7">
        <f>ROUND(G35*0.4,2)</f>
        <v>286.66000000000003</v>
      </c>
      <c r="H42" s="7"/>
      <c r="I42" s="7">
        <f>ROUND(I35*0.4,2)</f>
        <v>286.66000000000003</v>
      </c>
      <c r="J42" s="7"/>
      <c r="K42" s="7">
        <f>ROUND(K35*0.4,2)</f>
        <v>286.66000000000003</v>
      </c>
    </row>
    <row r="43" spans="1:11" ht="30" x14ac:dyDescent="0.25">
      <c r="A43" s="4"/>
      <c r="B43" s="4"/>
      <c r="C43" s="6" t="s">
        <v>50</v>
      </c>
      <c r="D43" s="7"/>
      <c r="E43" s="7">
        <f>ROUND(E35*0.2,2)</f>
        <v>143.33000000000001</v>
      </c>
      <c r="F43" s="7"/>
      <c r="G43" s="7">
        <f>ROUND(G35*0.2,2)</f>
        <v>143.33000000000001</v>
      </c>
      <c r="H43" s="7"/>
      <c r="I43" s="7">
        <f>ROUND(I35*0.2,2)</f>
        <v>143.33000000000001</v>
      </c>
      <c r="J43" s="7"/>
      <c r="K43" s="7">
        <f>ROUND(K35*0.2,2)</f>
        <v>143.33000000000001</v>
      </c>
    </row>
    <row r="44" spans="1:11" x14ac:dyDescent="0.25">
      <c r="A44" s="4"/>
      <c r="B44" s="4"/>
      <c r="C44" s="4" t="s">
        <v>12</v>
      </c>
      <c r="D44" s="3"/>
      <c r="E44" s="3">
        <f t="shared" ref="E44:I44" si="43">ROUND((E35+E36+E37+E38+E39+E40+E41+E42)*0.01,2)</f>
        <v>18.309999999999999</v>
      </c>
      <c r="F44" s="3"/>
      <c r="G44" s="3">
        <f t="shared" ref="G44" si="44">ROUND((G35+G36+G37+G38+G39+G40+G41+G42)*0.01,2)</f>
        <v>20.100000000000001</v>
      </c>
      <c r="H44" s="3"/>
      <c r="I44" s="3">
        <f t="shared" si="43"/>
        <v>18.309999999999999</v>
      </c>
      <c r="J44" s="3"/>
      <c r="K44" s="3">
        <f t="shared" ref="K44" si="45">ROUND((K35+K36+K37+K38+K39+K40+K41+K42)*0.01,2)</f>
        <v>20.100000000000001</v>
      </c>
    </row>
    <row r="45" spans="1:11" ht="30" x14ac:dyDescent="0.25">
      <c r="A45" s="4"/>
      <c r="B45" s="4"/>
      <c r="C45" s="6" t="s">
        <v>13</v>
      </c>
      <c r="D45" s="9"/>
      <c r="E45" s="9">
        <f>ROUND((E35+E36+E37+E38+E39+E40+E41+E43+E44+E42)*0.302,2)</f>
        <v>601.78</v>
      </c>
      <c r="F45" s="9"/>
      <c r="G45" s="9">
        <f t="shared" ref="G45" si="46">ROUND((G35+G36+G37+G38+G39+G40+G41+G43+G44+G42)*0.302,2)</f>
        <v>656.43</v>
      </c>
      <c r="H45" s="9"/>
      <c r="I45" s="9">
        <f t="shared" ref="I45" si="47">ROUND((I35+I36+I37+I38+I39+I40+I41+I43+I44+I42)*0.302,2)</f>
        <v>601.78</v>
      </c>
      <c r="J45" s="7"/>
      <c r="K45" s="7">
        <f t="shared" ref="K45" si="48">ROUND((K35+K36+K37+K38+K39+K40+K41+K43+K44+K42)*0.302,2)</f>
        <v>656.43</v>
      </c>
    </row>
    <row r="46" spans="1:11" ht="30" x14ac:dyDescent="0.25">
      <c r="A46" s="4"/>
      <c r="B46" s="4"/>
      <c r="C46" s="6" t="s">
        <v>23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4"/>
      <c r="B47" s="4"/>
      <c r="C47" s="8" t="s">
        <v>14</v>
      </c>
      <c r="D47" s="7"/>
      <c r="E47" s="7">
        <f>E35+E36+E37+E38+E39+E40+E41+E43+E44+E45+E42</f>
        <v>2594.4399999999996</v>
      </c>
      <c r="F47" s="7"/>
      <c r="G47" s="7">
        <f t="shared" ref="G47" si="49">G35+G36+G37+G38+G39+G40+G41+G43+G44+G45+G42</f>
        <v>2830.0399999999995</v>
      </c>
      <c r="H47" s="7"/>
      <c r="I47" s="7">
        <f t="shared" ref="I47" si="50">I35+I36+I37+I38+I39+I40+I41+I43+I44+I45+I42</f>
        <v>2594.4399999999996</v>
      </c>
      <c r="J47" s="7"/>
      <c r="K47" s="7">
        <f t="shared" ref="K47" si="51">K35+K36+K37+K38+K39+K40+K41+K43+K44+K45+K42</f>
        <v>2830.0399999999995</v>
      </c>
    </row>
    <row r="48" spans="1:11" x14ac:dyDescent="0.25">
      <c r="A48" s="4"/>
      <c r="B48" s="4"/>
      <c r="C48" s="8" t="s">
        <v>15</v>
      </c>
      <c r="D48" s="5"/>
      <c r="E48" s="7">
        <f>ROUND(E47*12,2)</f>
        <v>31133.279999999999</v>
      </c>
      <c r="F48" s="7"/>
      <c r="G48" s="7">
        <f>ROUND(G47*12,2)</f>
        <v>33960.480000000003</v>
      </c>
      <c r="H48" s="14"/>
      <c r="I48" s="11">
        <f>ROUND(I47*12,2)</f>
        <v>31133.279999999999</v>
      </c>
      <c r="J48" s="3"/>
      <c r="K48" s="7">
        <f>ROUND(K47*12,2)</f>
        <v>33960.480000000003</v>
      </c>
    </row>
    <row r="49" spans="1:11" ht="30" x14ac:dyDescent="0.25">
      <c r="A49" s="3">
        <v>4</v>
      </c>
      <c r="B49" s="6" t="s">
        <v>6</v>
      </c>
      <c r="C49" s="6" t="s">
        <v>9</v>
      </c>
      <c r="D49" s="14">
        <v>1.25</v>
      </c>
      <c r="E49" s="7">
        <f>ROUND(5418*1.0075*D49,0)</f>
        <v>6823</v>
      </c>
      <c r="F49" s="7">
        <v>1.25</v>
      </c>
      <c r="G49" s="7">
        <f>ROUND(5418*1.0075*F49,0)</f>
        <v>6823</v>
      </c>
      <c r="H49" s="14">
        <v>1.5</v>
      </c>
      <c r="I49" s="7">
        <f>ROUND(5418*1.0075*H49,0)</f>
        <v>8188</v>
      </c>
      <c r="J49" s="3">
        <v>1.5</v>
      </c>
      <c r="K49" s="7">
        <f>ROUND(5418*1.0075*J49,0)</f>
        <v>8188</v>
      </c>
    </row>
    <row r="50" spans="1:11" ht="30" x14ac:dyDescent="0.25">
      <c r="A50" s="3"/>
      <c r="B50" s="6"/>
      <c r="C50" s="6" t="s">
        <v>51</v>
      </c>
      <c r="D50" s="14"/>
      <c r="E50" s="7"/>
      <c r="F50" s="7"/>
      <c r="G50" s="7"/>
      <c r="H50" s="14"/>
      <c r="I50" s="11"/>
      <c r="J50" s="3"/>
      <c r="K50" s="7"/>
    </row>
    <row r="51" spans="1:11" ht="45" x14ac:dyDescent="0.25">
      <c r="A51" s="4"/>
      <c r="B51" s="4"/>
      <c r="C51" s="6" t="s">
        <v>52</v>
      </c>
      <c r="D51" s="3"/>
      <c r="E51" s="7">
        <f>ROUND(E49*0.3,0)</f>
        <v>2047</v>
      </c>
      <c r="F51" s="7"/>
      <c r="G51" s="7">
        <f>ROUND(G49*0.3,0)</f>
        <v>2047</v>
      </c>
      <c r="H51" s="14"/>
      <c r="I51" s="11">
        <f>ROUND(I49*0.3,0)</f>
        <v>2456</v>
      </c>
      <c r="J51" s="3"/>
      <c r="K51" s="7">
        <f>ROUND(K49*0.3,0)</f>
        <v>2456</v>
      </c>
    </row>
    <row r="52" spans="1:11" ht="45" x14ac:dyDescent="0.25">
      <c r="A52" s="4"/>
      <c r="B52" s="4"/>
      <c r="C52" s="6" t="s">
        <v>10</v>
      </c>
      <c r="D52" s="7"/>
      <c r="E52" s="7">
        <f t="shared" ref="E52:I52" si="52">ROUND((E49)*0.05,2)</f>
        <v>341.15</v>
      </c>
      <c r="F52" s="7"/>
      <c r="G52" s="7">
        <f t="shared" ref="G52" si="53">ROUND((G49)*0.05,2)</f>
        <v>341.15</v>
      </c>
      <c r="H52" s="7"/>
      <c r="I52" s="7">
        <f t="shared" si="52"/>
        <v>409.4</v>
      </c>
      <c r="J52" s="7"/>
      <c r="K52" s="7">
        <f t="shared" ref="K52" si="54">ROUND((K49)*0.05,2)</f>
        <v>409.4</v>
      </c>
    </row>
    <row r="53" spans="1:11" ht="30.75" customHeight="1" x14ac:dyDescent="0.25">
      <c r="A53" s="4"/>
      <c r="B53" s="4"/>
      <c r="C53" s="6" t="s">
        <v>32</v>
      </c>
      <c r="D53" s="7"/>
      <c r="E53" s="7">
        <f t="shared" ref="E53:I53" si="55">ROUND(E49*0.2,2)</f>
        <v>1364.6</v>
      </c>
      <c r="F53" s="7"/>
      <c r="G53" s="7">
        <f t="shared" ref="G53" si="56">ROUND(G49*0.2,2)</f>
        <v>1364.6</v>
      </c>
      <c r="H53" s="7"/>
      <c r="I53" s="7">
        <f t="shared" si="55"/>
        <v>1637.6</v>
      </c>
      <c r="J53" s="7"/>
      <c r="K53" s="7">
        <f t="shared" ref="K53" si="57">ROUND(K49*0.2,2)</f>
        <v>1637.6</v>
      </c>
    </row>
    <row r="54" spans="1:11" x14ac:dyDescent="0.25">
      <c r="A54" s="4"/>
      <c r="B54" s="4"/>
      <c r="C54" s="4" t="s">
        <v>11</v>
      </c>
      <c r="D54" s="7"/>
      <c r="E54" s="7">
        <f t="shared" ref="E54:I54" si="58">ROUND((E49+E50+E51+E52+E53)*0.05,0)</f>
        <v>529</v>
      </c>
      <c r="F54" s="7"/>
      <c r="G54" s="7">
        <f t="shared" ref="G54" si="59">ROUND((G49+G50+G51+G52+G53)*0.05,0)</f>
        <v>529</v>
      </c>
      <c r="H54" s="7"/>
      <c r="I54" s="7">
        <f t="shared" si="58"/>
        <v>635</v>
      </c>
      <c r="J54" s="7"/>
      <c r="K54" s="7">
        <f t="shared" ref="K54" si="60">ROUND((K49+K50+K51+K52+K53)*0.05,0)</f>
        <v>635</v>
      </c>
    </row>
    <row r="55" spans="1:11" x14ac:dyDescent="0.25">
      <c r="A55" s="4"/>
      <c r="B55" s="4"/>
      <c r="C55" s="4" t="s">
        <v>12</v>
      </c>
      <c r="D55" s="7"/>
      <c r="E55" s="7">
        <f t="shared" ref="E55:I55" si="61">ROUND((E49+E50+E51+E52+E53)*0.01,2)</f>
        <v>105.76</v>
      </c>
      <c r="F55" s="7"/>
      <c r="G55" s="7">
        <f t="shared" ref="G55" si="62">ROUND((G49+G50+G51+G52+G53)*0.01,2)</f>
        <v>105.76</v>
      </c>
      <c r="H55" s="7"/>
      <c r="I55" s="7">
        <f t="shared" si="61"/>
        <v>126.91</v>
      </c>
      <c r="J55" s="7"/>
      <c r="K55" s="7">
        <f t="shared" ref="K55" si="63">ROUND((K49+K50+K51+K52+K53)*0.01,2)</f>
        <v>126.91</v>
      </c>
    </row>
    <row r="56" spans="1:11" x14ac:dyDescent="0.25">
      <c r="A56" s="4"/>
      <c r="B56" s="4"/>
      <c r="C56" s="4" t="s">
        <v>30</v>
      </c>
      <c r="D56" s="7"/>
      <c r="E56" s="7">
        <f>ROUND((12130-(E49+E50+E51+E52+E54+E53)/D49)*D49,2)</f>
        <v>4057.75</v>
      </c>
      <c r="F56" s="7"/>
      <c r="G56" s="7">
        <f>ROUND((12130-(G49+G50+G51+G52+G54+G53)/F49)*F49,2)</f>
        <v>4057.75</v>
      </c>
      <c r="H56" s="7"/>
      <c r="I56" s="7">
        <f>ROUND((12130-(I49+I50+I51+I52+I54+I53)/H49)*H49,2)</f>
        <v>4869</v>
      </c>
      <c r="J56" s="7"/>
      <c r="K56" s="7">
        <f>ROUND((12130-(K49+K50+K51+K52+K54+K53)/J49)*J49,2)</f>
        <v>4869</v>
      </c>
    </row>
    <row r="57" spans="1:11" x14ac:dyDescent="0.25">
      <c r="A57" s="4"/>
      <c r="B57" s="4"/>
      <c r="C57" s="4" t="s">
        <v>31</v>
      </c>
      <c r="D57" s="7"/>
      <c r="E57" s="7">
        <f>ROUND(12130/29.3*28*D49/365*28,2)</f>
        <v>1111.54</v>
      </c>
      <c r="F57" s="7"/>
      <c r="G57" s="7">
        <f>ROUND(12130/29.3*28*F49/365*28,2)</f>
        <v>1111.54</v>
      </c>
      <c r="H57" s="7"/>
      <c r="I57" s="7">
        <f>ROUND(12130/29.3*28*H49/365*28,2)</f>
        <v>1333.85</v>
      </c>
      <c r="J57" s="7"/>
      <c r="K57" s="7">
        <f>ROUND(12130/29.3*28*J49/365*28,2)</f>
        <v>1333.85</v>
      </c>
    </row>
    <row r="58" spans="1:11" ht="30" x14ac:dyDescent="0.25">
      <c r="A58" s="4"/>
      <c r="B58" s="4"/>
      <c r="C58" s="6" t="s">
        <v>13</v>
      </c>
      <c r="D58" s="7"/>
      <c r="E58" s="7">
        <f t="shared" ref="E58:I58" si="64">ROUND((E49+E50+E51+E52+E54+E55+E56+E57+E53)*0.302,0)</f>
        <v>4947</v>
      </c>
      <c r="F58" s="7"/>
      <c r="G58" s="7">
        <f t="shared" ref="G58" si="65">ROUND((G49+G50+G51+G52+G54+G55+G56+G57+G53)*0.302,0)</f>
        <v>4947</v>
      </c>
      <c r="H58" s="7"/>
      <c r="I58" s="7">
        <f t="shared" si="64"/>
        <v>5936</v>
      </c>
      <c r="J58" s="7"/>
      <c r="K58" s="7">
        <f t="shared" ref="K58" si="66">ROUND((K49+K50+K51+K52+K54+K55+K56+K57+K53)*0.302,0)</f>
        <v>5936</v>
      </c>
    </row>
    <row r="59" spans="1:11" ht="30" x14ac:dyDescent="0.25">
      <c r="A59" s="4"/>
      <c r="B59" s="4"/>
      <c r="C59" s="6" t="s">
        <v>24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4"/>
      <c r="B60" s="4"/>
      <c r="C60" s="8" t="s">
        <v>14</v>
      </c>
      <c r="D60" s="7"/>
      <c r="E60" s="7">
        <f t="shared" ref="E60:I60" si="67">E49+E50+E51+E52+E54+E55+E58+E56+E57+E53</f>
        <v>21326.799999999999</v>
      </c>
      <c r="F60" s="7"/>
      <c r="G60" s="7">
        <f t="shared" ref="G60" si="68">G49+G50+G51+G52+G54+G55+G58+G56+G57+G53</f>
        <v>21326.799999999999</v>
      </c>
      <c r="H60" s="7"/>
      <c r="I60" s="7">
        <f t="shared" si="67"/>
        <v>25591.759999999995</v>
      </c>
      <c r="J60" s="7"/>
      <c r="K60" s="7">
        <f t="shared" ref="K60" si="69">K49+K50+K51+K52+K54+K55+K58+K56+K57+K53</f>
        <v>25591.759999999995</v>
      </c>
    </row>
    <row r="61" spans="1:11" x14ac:dyDescent="0.25">
      <c r="A61" s="4"/>
      <c r="B61" s="4"/>
      <c r="C61" s="8" t="s">
        <v>15</v>
      </c>
      <c r="D61" s="3"/>
      <c r="E61" s="7">
        <f>ROUND(E60*12,0)</f>
        <v>255922</v>
      </c>
      <c r="F61" s="7"/>
      <c r="G61" s="7">
        <f>ROUND(G60*12,0)</f>
        <v>255922</v>
      </c>
      <c r="H61" s="14"/>
      <c r="I61" s="11">
        <f>ROUND(I60*12,0)</f>
        <v>307101</v>
      </c>
      <c r="J61" s="3"/>
      <c r="K61" s="7">
        <f>ROUND(K60*12,0)</f>
        <v>307101</v>
      </c>
    </row>
    <row r="62" spans="1:11" ht="45.75" customHeight="1" x14ac:dyDescent="0.25">
      <c r="A62" s="3">
        <v>7</v>
      </c>
      <c r="B62" s="6" t="s">
        <v>34</v>
      </c>
      <c r="C62" s="6" t="s">
        <v>35</v>
      </c>
      <c r="D62" s="14">
        <v>0.25</v>
      </c>
      <c r="E62" s="7">
        <f>ROUND(4047*1.0075*D62,0)</f>
        <v>1019</v>
      </c>
      <c r="F62" s="14">
        <v>0.25</v>
      </c>
      <c r="G62" s="7">
        <f>ROUND(4047*1.0075*F62,0)</f>
        <v>1019</v>
      </c>
      <c r="H62" s="14">
        <v>0.25</v>
      </c>
      <c r="I62" s="7">
        <f>ROUND(4047*1.0075*H62,0)</f>
        <v>1019</v>
      </c>
      <c r="J62" s="14">
        <v>0.25</v>
      </c>
      <c r="K62" s="7">
        <f>ROUND(4047*1.0075*J62,0)</f>
        <v>1019</v>
      </c>
    </row>
    <row r="63" spans="1:11" ht="45" x14ac:dyDescent="0.25">
      <c r="A63" s="4"/>
      <c r="B63" s="4"/>
      <c r="C63" s="6" t="s">
        <v>10</v>
      </c>
      <c r="D63" s="7"/>
      <c r="E63" s="7">
        <f t="shared" ref="E63:I63" si="70">ROUND((E62)*0.05,2)</f>
        <v>50.95</v>
      </c>
      <c r="F63" s="7"/>
      <c r="G63" s="7">
        <f t="shared" ref="G63" si="71">ROUND((G62)*0.05,2)</f>
        <v>50.95</v>
      </c>
      <c r="H63" s="7"/>
      <c r="I63" s="7">
        <f t="shared" si="70"/>
        <v>50.95</v>
      </c>
      <c r="J63" s="7"/>
      <c r="K63" s="7">
        <f t="shared" ref="K63" si="72">ROUND((K62)*0.05,2)</f>
        <v>50.95</v>
      </c>
    </row>
    <row r="64" spans="1:11" ht="30.75" customHeight="1" x14ac:dyDescent="0.25">
      <c r="A64" s="4"/>
      <c r="B64" s="4"/>
      <c r="C64" s="6" t="s">
        <v>36</v>
      </c>
      <c r="D64" s="7"/>
      <c r="E64" s="7">
        <f t="shared" ref="E64:I64" si="73">ROUND(E62*0.2,2)</f>
        <v>203.8</v>
      </c>
      <c r="F64" s="7"/>
      <c r="G64" s="7">
        <f t="shared" ref="G64" si="74">ROUND(G62*0.2,2)</f>
        <v>203.8</v>
      </c>
      <c r="H64" s="7"/>
      <c r="I64" s="7">
        <f t="shared" si="73"/>
        <v>203.8</v>
      </c>
      <c r="J64" s="7"/>
      <c r="K64" s="7">
        <f t="shared" ref="K64" si="75">ROUND(K62*0.2,2)</f>
        <v>203.8</v>
      </c>
    </row>
    <row r="65" spans="1:11" x14ac:dyDescent="0.25">
      <c r="A65" s="4"/>
      <c r="B65" s="4"/>
      <c r="C65" s="4" t="s">
        <v>11</v>
      </c>
      <c r="D65" s="7"/>
      <c r="E65" s="7">
        <f t="shared" ref="E65:I65" si="76">ROUND((E62+E63+E64)*0.05,0)</f>
        <v>64</v>
      </c>
      <c r="F65" s="7"/>
      <c r="G65" s="7">
        <f t="shared" ref="G65" si="77">ROUND((G62+G63+G64)*0.05,0)</f>
        <v>64</v>
      </c>
      <c r="H65" s="7"/>
      <c r="I65" s="7">
        <f t="shared" si="76"/>
        <v>64</v>
      </c>
      <c r="J65" s="7"/>
      <c r="K65" s="7">
        <f t="shared" ref="K65" si="78">ROUND((K62+K63+K64)*0.05,0)</f>
        <v>64</v>
      </c>
    </row>
    <row r="66" spans="1:11" x14ac:dyDescent="0.25">
      <c r="A66" s="4"/>
      <c r="B66" s="4"/>
      <c r="C66" s="4" t="s">
        <v>12</v>
      </c>
      <c r="D66" s="7"/>
      <c r="E66" s="7">
        <f t="shared" ref="E66:I66" si="79">ROUND((E62+E63+E64)*0.01,2)</f>
        <v>12.74</v>
      </c>
      <c r="F66" s="7"/>
      <c r="G66" s="7">
        <f t="shared" ref="G66" si="80">ROUND((G62+G63+G64)*0.01,2)</f>
        <v>12.74</v>
      </c>
      <c r="H66" s="7"/>
      <c r="I66" s="7">
        <f t="shared" si="79"/>
        <v>12.74</v>
      </c>
      <c r="J66" s="7"/>
      <c r="K66" s="7">
        <f t="shared" ref="K66" si="81">ROUND((K62+K63+K64)*0.01,2)</f>
        <v>12.74</v>
      </c>
    </row>
    <row r="67" spans="1:11" x14ac:dyDescent="0.25">
      <c r="A67" s="4"/>
      <c r="B67" s="4"/>
      <c r="C67" s="4" t="s">
        <v>30</v>
      </c>
      <c r="D67" s="7"/>
      <c r="E67" s="7">
        <f>ROUND((12130-(E62+E63+E65+E64)/D62)*D62,2)</f>
        <v>1694.75</v>
      </c>
      <c r="F67" s="7"/>
      <c r="G67" s="7">
        <f>ROUND((12130-(G62+G63+G65+G64)/F62)*F62,2)</f>
        <v>1694.75</v>
      </c>
      <c r="H67" s="7"/>
      <c r="I67" s="7">
        <f>ROUND((12130-(I62+I63+I65+I64)/H62)*H62,2)</f>
        <v>1694.75</v>
      </c>
      <c r="J67" s="7"/>
      <c r="K67" s="7">
        <f>ROUND((12130-(K62+K63+K65+K64)/J62)*J62,2)</f>
        <v>1694.75</v>
      </c>
    </row>
    <row r="68" spans="1:11" x14ac:dyDescent="0.25">
      <c r="A68" s="4"/>
      <c r="B68" s="4"/>
      <c r="C68" s="4" t="s">
        <v>31</v>
      </c>
      <c r="D68" s="7"/>
      <c r="E68" s="7">
        <f>ROUND(12130/29.3*28*D62/365*28,2)</f>
        <v>222.31</v>
      </c>
      <c r="F68" s="7"/>
      <c r="G68" s="7">
        <f>ROUND(12130/29.3*28*F62/365*28,2)</f>
        <v>222.31</v>
      </c>
      <c r="H68" s="7"/>
      <c r="I68" s="7">
        <f>ROUND(12130/29.3*28*H62/365*28,2)</f>
        <v>222.31</v>
      </c>
      <c r="J68" s="7"/>
      <c r="K68" s="7">
        <f>ROUND(12130/29.3*28*J62/365*28,2)</f>
        <v>222.31</v>
      </c>
    </row>
    <row r="69" spans="1:11" ht="30" x14ac:dyDescent="0.25">
      <c r="A69" s="4"/>
      <c r="B69" s="4"/>
      <c r="C69" s="6" t="s">
        <v>13</v>
      </c>
      <c r="D69" s="7"/>
      <c r="E69" s="7">
        <f t="shared" ref="E69:I69" si="82">ROUND((E62+E63+E65+E66+E67+E68+E64)*0.302,0)</f>
        <v>987</v>
      </c>
      <c r="F69" s="7"/>
      <c r="G69" s="7">
        <f t="shared" ref="G69" si="83">ROUND((G62+G63+G65+G66+G67+G68+G64)*0.302,0)</f>
        <v>987</v>
      </c>
      <c r="H69" s="7"/>
      <c r="I69" s="7">
        <f t="shared" si="82"/>
        <v>987</v>
      </c>
      <c r="J69" s="7"/>
      <c r="K69" s="7">
        <f t="shared" ref="K69" si="84">ROUND((K62+K63+K65+K66+K67+K68+K64)*0.302,0)</f>
        <v>987</v>
      </c>
    </row>
    <row r="70" spans="1:11" ht="30" x14ac:dyDescent="0.25">
      <c r="A70" s="4"/>
      <c r="B70" s="4"/>
      <c r="C70" s="6" t="s">
        <v>37</v>
      </c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4"/>
      <c r="B71" s="4"/>
      <c r="C71" s="8" t="s">
        <v>14</v>
      </c>
      <c r="D71" s="7"/>
      <c r="E71" s="7">
        <f t="shared" ref="E71:I71" si="85">E62+E63+E65+E66+E69+E67+E68+E64</f>
        <v>4254.55</v>
      </c>
      <c r="F71" s="7"/>
      <c r="G71" s="7">
        <f t="shared" ref="G71" si="86">G62+G63+G65+G66+G69+G67+G68+G64</f>
        <v>4254.55</v>
      </c>
      <c r="H71" s="7"/>
      <c r="I71" s="7">
        <f t="shared" si="85"/>
        <v>4254.55</v>
      </c>
      <c r="J71" s="7"/>
      <c r="K71" s="7">
        <f t="shared" ref="K71" si="87">K62+K63+K65+K66+K69+K67+K68+K64</f>
        <v>4254.55</v>
      </c>
    </row>
    <row r="72" spans="1:11" x14ac:dyDescent="0.25">
      <c r="A72" s="4"/>
      <c r="B72" s="4"/>
      <c r="C72" s="8" t="s">
        <v>15</v>
      </c>
      <c r="D72" s="7"/>
      <c r="E72" s="7">
        <f t="shared" ref="E72:I72" si="88">ROUND(E71*12,0)</f>
        <v>51055</v>
      </c>
      <c r="F72" s="7"/>
      <c r="G72" s="7">
        <f t="shared" ref="G72" si="89">ROUND(G71*12,0)</f>
        <v>51055</v>
      </c>
      <c r="H72" s="7"/>
      <c r="I72" s="7">
        <f t="shared" si="88"/>
        <v>51055</v>
      </c>
      <c r="J72" s="7"/>
      <c r="K72" s="7">
        <f t="shared" ref="K72" si="90">ROUND(K71*12,0)</f>
        <v>51055</v>
      </c>
    </row>
    <row r="73" spans="1:11" ht="19.5" customHeight="1" x14ac:dyDescent="0.25">
      <c r="A73" s="4"/>
      <c r="B73" s="60" t="s">
        <v>27</v>
      </c>
      <c r="C73" s="61"/>
      <c r="D73" s="3"/>
      <c r="E73" s="3"/>
      <c r="F73" s="3"/>
      <c r="G73" s="3"/>
      <c r="H73" s="3"/>
      <c r="I73" s="14"/>
      <c r="J73" s="3"/>
      <c r="K73" s="3"/>
    </row>
    <row r="74" spans="1:11" ht="36.75" customHeight="1" x14ac:dyDescent="0.25">
      <c r="A74" s="4"/>
      <c r="B74" s="6"/>
      <c r="C74" s="6" t="s">
        <v>56</v>
      </c>
      <c r="D74" s="7"/>
      <c r="E74" s="7">
        <f>ROUND((E20+E34+E48+E61+E72)*0.192,2)</f>
        <v>182953.54</v>
      </c>
      <c r="F74" s="7"/>
      <c r="G74" s="7">
        <f>ROUND((G20+G34+G48+G61+G72)*0.192,2)</f>
        <v>194597.4</v>
      </c>
      <c r="H74" s="7"/>
      <c r="I74" s="7">
        <f>ROUND((I20+I34+I48+I61+I72)*0.192,2)</f>
        <v>238129.54</v>
      </c>
      <c r="J74" s="7"/>
      <c r="K74" s="7">
        <f>ROUND((K20+K34+K48+K61+K72)*0.192,2)</f>
        <v>253960.37</v>
      </c>
    </row>
    <row r="75" spans="1:11" ht="64.5" customHeight="1" x14ac:dyDescent="0.25">
      <c r="A75" s="4"/>
      <c r="B75" s="55" t="s">
        <v>29</v>
      </c>
      <c r="C75" s="59"/>
      <c r="D75" s="7"/>
      <c r="E75" s="7"/>
      <c r="F75" s="7"/>
      <c r="G75" s="7"/>
      <c r="H75" s="7"/>
      <c r="I75" s="7"/>
      <c r="J75" s="7"/>
      <c r="K75" s="7"/>
    </row>
    <row r="76" spans="1:11" ht="45.75" customHeight="1" x14ac:dyDescent="0.25">
      <c r="A76" s="4"/>
      <c r="B76" s="6"/>
      <c r="C76" s="6" t="s">
        <v>58</v>
      </c>
      <c r="D76" s="7"/>
      <c r="E76" s="7">
        <f>ROUND((E20+E34+E48+E61+E72)*0.028,2)</f>
        <v>26680.720000000001</v>
      </c>
      <c r="F76" s="7"/>
      <c r="G76" s="7">
        <f>ROUND((G20+G34+G48+G61+G72)*0.028,2)</f>
        <v>28378.79</v>
      </c>
      <c r="H76" s="7"/>
      <c r="I76" s="7">
        <f>ROUND((I20+I34+I48+I61+I72)*0.028,2)</f>
        <v>34727.22</v>
      </c>
      <c r="J76" s="7"/>
      <c r="K76" s="7">
        <f>ROUND((K20+K34+K48+K61+K72)*0.028,2)</f>
        <v>37035.89</v>
      </c>
    </row>
    <row r="77" spans="1:11" ht="66.75" customHeight="1" x14ac:dyDescent="0.25">
      <c r="A77" s="4"/>
      <c r="B77" s="55" t="s">
        <v>33</v>
      </c>
      <c r="C77" s="59"/>
      <c r="D77" s="3"/>
      <c r="E77" s="3"/>
      <c r="F77" s="3"/>
      <c r="G77" s="3"/>
      <c r="H77" s="3"/>
      <c r="I77" s="3"/>
      <c r="J77" s="3"/>
      <c r="K77" s="3"/>
    </row>
    <row r="78" spans="1:11" ht="50.25" customHeight="1" x14ac:dyDescent="0.25">
      <c r="A78" s="4"/>
      <c r="B78" s="6"/>
      <c r="C78" s="6" t="s">
        <v>57</v>
      </c>
      <c r="D78" s="7"/>
      <c r="E78" s="7">
        <f>ROUND((E20+E34+E48+E61+E72)*0.038,2)</f>
        <v>36209.550000000003</v>
      </c>
      <c r="F78" s="7"/>
      <c r="G78" s="7">
        <f>ROUND((G20+G34+G48+G61+G72)*0.038,2)</f>
        <v>38514.07</v>
      </c>
      <c r="H78" s="7"/>
      <c r="I78" s="7">
        <f>ROUND((I20+I34+I48+I61+I72)*0.038,2)</f>
        <v>47129.8</v>
      </c>
      <c r="J78" s="7"/>
      <c r="K78" s="7">
        <f>ROUND((K20+K34+K48+K61+K72)*0.038,2)</f>
        <v>50262.99</v>
      </c>
    </row>
    <row r="79" spans="1:11" ht="68.25" customHeight="1" x14ac:dyDescent="0.25">
      <c r="A79" s="4"/>
      <c r="B79" s="55" t="s">
        <v>28</v>
      </c>
      <c r="C79" s="59"/>
      <c r="D79" s="7"/>
      <c r="E79" s="7">
        <f>E20+E34+E48+E61+E72+E74+E76+E78</f>
        <v>1198726.81</v>
      </c>
      <c r="F79" s="7"/>
      <c r="G79" s="7">
        <f>G20+G34+G48+G61+G72+G74+G76+G78</f>
        <v>1275018.3800000001</v>
      </c>
      <c r="H79" s="7"/>
      <c r="I79" s="7">
        <f>I20+I34+I48+I61+I72+I74+I76+I78</f>
        <v>1560244.56</v>
      </c>
      <c r="J79" s="7"/>
      <c r="K79" s="7">
        <f>K20+K34+K48+K61+K72+K74+K76+K78</f>
        <v>1663969.4899999998</v>
      </c>
    </row>
    <row r="80" spans="1:11" ht="35.25" customHeight="1" x14ac:dyDescent="0.25">
      <c r="A80" s="4"/>
      <c r="B80" s="55" t="s">
        <v>39</v>
      </c>
      <c r="C80" s="59"/>
      <c r="D80" s="20">
        <v>20</v>
      </c>
      <c r="E80" s="5">
        <f>ROUND(E79/D80,0)</f>
        <v>59936</v>
      </c>
      <c r="F80" s="5">
        <v>20</v>
      </c>
      <c r="G80" s="5">
        <f>ROUND(G79/F80,0)</f>
        <v>63751</v>
      </c>
      <c r="H80" s="20">
        <v>20</v>
      </c>
      <c r="I80" s="5">
        <f>ROUND(I79/H80,0)</f>
        <v>78012</v>
      </c>
      <c r="J80" s="21">
        <v>20</v>
      </c>
      <c r="K80" s="5">
        <f>ROUND(K79/J80,0)</f>
        <v>83198</v>
      </c>
    </row>
    <row r="81" spans="1:11" ht="63" customHeight="1" x14ac:dyDescent="0.25">
      <c r="A81" s="4"/>
      <c r="B81" s="55" t="s">
        <v>69</v>
      </c>
      <c r="C81" s="56"/>
      <c r="D81" s="3"/>
      <c r="E81" s="24">
        <f>E80</f>
        <v>59936</v>
      </c>
      <c r="F81" s="24"/>
      <c r="G81" s="24">
        <f>E81</f>
        <v>59936</v>
      </c>
      <c r="H81" s="3"/>
      <c r="I81" s="24">
        <f>G81</f>
        <v>59936</v>
      </c>
      <c r="J81" s="3"/>
      <c r="K81" s="5">
        <f>I81</f>
        <v>59936</v>
      </c>
    </row>
    <row r="82" spans="1:11" ht="119.25" customHeight="1" x14ac:dyDescent="0.25">
      <c r="A82" s="4"/>
      <c r="B82" s="57" t="s">
        <v>70</v>
      </c>
      <c r="C82" s="58"/>
      <c r="D82" s="3"/>
      <c r="E82" s="16">
        <f>ROUND(E80/E81,3)</f>
        <v>1</v>
      </c>
      <c r="F82" s="3"/>
      <c r="G82" s="3">
        <f>ROUND(G80/G81,3)</f>
        <v>1.0640000000000001</v>
      </c>
      <c r="H82" s="3"/>
      <c r="I82" s="3">
        <f>ROUND(I80/I81,3)</f>
        <v>1.302</v>
      </c>
      <c r="J82" s="3"/>
      <c r="K82" s="3">
        <f>ROUND(K80/K81,3)</f>
        <v>1.3879999999999999</v>
      </c>
    </row>
    <row r="83" spans="1:11" ht="111.75" customHeight="1" x14ac:dyDescent="0.25">
      <c r="A83" s="4"/>
      <c r="B83" s="45" t="s">
        <v>62</v>
      </c>
      <c r="C83" s="45"/>
      <c r="D83" s="3"/>
      <c r="E83" s="5">
        <v>2214</v>
      </c>
      <c r="F83" s="3"/>
      <c r="G83" s="5">
        <v>2214</v>
      </c>
      <c r="H83" s="3"/>
      <c r="I83" s="5">
        <v>2214</v>
      </c>
      <c r="J83" s="3"/>
      <c r="K83" s="5">
        <v>2214</v>
      </c>
    </row>
    <row r="84" spans="1:11" ht="60" customHeight="1" x14ac:dyDescent="0.25">
      <c r="A84" s="4"/>
      <c r="B84" s="45" t="s">
        <v>40</v>
      </c>
      <c r="C84" s="45"/>
      <c r="D84" s="3"/>
      <c r="E84" s="5">
        <f>E81+E83</f>
        <v>62150</v>
      </c>
      <c r="F84" s="3"/>
      <c r="G84" s="5">
        <f>E84</f>
        <v>62150</v>
      </c>
      <c r="H84" s="3"/>
      <c r="I84" s="5">
        <f>G84</f>
        <v>62150</v>
      </c>
      <c r="J84" s="3"/>
      <c r="K84" s="5">
        <f>I84</f>
        <v>62150</v>
      </c>
    </row>
    <row r="85" spans="1:11" ht="99.75" customHeight="1" x14ac:dyDescent="0.25">
      <c r="A85" s="4"/>
      <c r="B85" s="45" t="s">
        <v>71</v>
      </c>
      <c r="C85" s="45"/>
      <c r="D85" s="3"/>
      <c r="E85" s="5">
        <v>2214</v>
      </c>
      <c r="F85" s="3"/>
      <c r="G85" s="5">
        <v>2214</v>
      </c>
      <c r="H85" s="3"/>
      <c r="I85" s="5">
        <v>2767</v>
      </c>
      <c r="J85" s="3"/>
      <c r="K85" s="5">
        <v>2767</v>
      </c>
    </row>
    <row r="86" spans="1:11" ht="44.25" customHeight="1" x14ac:dyDescent="0.25">
      <c r="A86" s="4"/>
      <c r="B86" s="45" t="s">
        <v>63</v>
      </c>
      <c r="C86" s="45"/>
      <c r="D86" s="3"/>
      <c r="E86" s="5">
        <f>E80+E85</f>
        <v>62150</v>
      </c>
      <c r="F86" s="3"/>
      <c r="G86" s="5">
        <f>G80+G85</f>
        <v>65965</v>
      </c>
      <c r="H86" s="3"/>
      <c r="I86" s="5">
        <f>I80+I85</f>
        <v>80779</v>
      </c>
      <c r="J86" s="3"/>
      <c r="K86" s="5">
        <f>K80+K85</f>
        <v>85965</v>
      </c>
    </row>
    <row r="87" spans="1:11" ht="50.25" customHeight="1" x14ac:dyDescent="0.25">
      <c r="A87" s="4"/>
      <c r="B87" s="45" t="s">
        <v>73</v>
      </c>
      <c r="C87" s="45"/>
      <c r="D87" s="3"/>
      <c r="E87" s="5">
        <v>8673</v>
      </c>
      <c r="F87" s="3"/>
      <c r="G87" s="5">
        <v>8673</v>
      </c>
      <c r="H87" s="3"/>
      <c r="I87" s="5">
        <v>8673</v>
      </c>
      <c r="J87" s="3"/>
      <c r="K87" s="5">
        <v>8673</v>
      </c>
    </row>
    <row r="88" spans="1:11" ht="34.5" customHeight="1" x14ac:dyDescent="0.25">
      <c r="A88" s="4"/>
      <c r="B88" s="45" t="s">
        <v>74</v>
      </c>
      <c r="C88" s="45"/>
      <c r="D88" s="3"/>
      <c r="E88" s="5">
        <f>E84+E87</f>
        <v>70823</v>
      </c>
      <c r="F88" s="3"/>
      <c r="G88" s="5">
        <f>G84+G87</f>
        <v>70823</v>
      </c>
      <c r="H88" s="3"/>
      <c r="I88" s="5">
        <f>I84+I87</f>
        <v>70823</v>
      </c>
      <c r="J88" s="3"/>
      <c r="K88" s="5">
        <f>K84+K87</f>
        <v>70823</v>
      </c>
    </row>
    <row r="89" spans="1:11" ht="33.75" customHeight="1" x14ac:dyDescent="0.25">
      <c r="A89" s="4"/>
      <c r="B89" s="45" t="s">
        <v>75</v>
      </c>
      <c r="C89" s="45"/>
      <c r="D89" s="4"/>
      <c r="E89" s="5">
        <f>E86+E87</f>
        <v>70823</v>
      </c>
      <c r="F89" s="4"/>
      <c r="G89" s="5">
        <f>G86+G87</f>
        <v>74638</v>
      </c>
      <c r="H89" s="4"/>
      <c r="I89" s="5">
        <f>I86+I87</f>
        <v>89452</v>
      </c>
      <c r="J89" s="4"/>
      <c r="K89" s="5">
        <f>K86+K87</f>
        <v>94638</v>
      </c>
    </row>
    <row r="91" spans="1:11" x14ac:dyDescent="0.25">
      <c r="B91" s="1" t="s">
        <v>68</v>
      </c>
    </row>
  </sheetData>
  <mergeCells count="25">
    <mergeCell ref="A1:I1"/>
    <mergeCell ref="D2:K2"/>
    <mergeCell ref="C2:C5"/>
    <mergeCell ref="B2:B5"/>
    <mergeCell ref="A2:A5"/>
    <mergeCell ref="D3:G3"/>
    <mergeCell ref="H3:K3"/>
    <mergeCell ref="H4:I4"/>
    <mergeCell ref="J4:K4"/>
    <mergeCell ref="B83:C83"/>
    <mergeCell ref="B81:C81"/>
    <mergeCell ref="B82:C82"/>
    <mergeCell ref="B80:C80"/>
    <mergeCell ref="B73:C73"/>
    <mergeCell ref="B75:C75"/>
    <mergeCell ref="B77:C77"/>
    <mergeCell ref="B79:C79"/>
    <mergeCell ref="B87:C87"/>
    <mergeCell ref="B88:C88"/>
    <mergeCell ref="B89:C89"/>
    <mergeCell ref="D4:E4"/>
    <mergeCell ref="F4:G4"/>
    <mergeCell ref="B84:C84"/>
    <mergeCell ref="B86:C86"/>
    <mergeCell ref="B85:C85"/>
  </mergeCells>
  <printOptions horizontalCentered="1"/>
  <pageMargins left="0" right="0" top="0.55118110236220474" bottom="0.35433070866141736" header="0" footer="0"/>
  <pageSetup paperSize="9" scale="50" orientation="landscape" r:id="rId1"/>
  <rowBreaks count="2" manualBreakCount="2">
    <brk id="26" max="10" man="1"/>
    <brk id="7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zoomScale="69" zoomScaleNormal="81" zoomScaleSheetLayoutView="69" workbookViewId="0">
      <pane xSplit="3" ySplit="5" topLeftCell="D100" activePane="bottomRight" state="frozen"/>
      <selection pane="topRight" activeCell="D1" sqref="D1"/>
      <selection pane="bottomLeft" activeCell="A5" sqref="A5"/>
      <selection pane="bottomRight" activeCell="G99" sqref="G99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5" style="1" customWidth="1"/>
    <col min="5" max="5" width="19.5703125" style="1" customWidth="1"/>
    <col min="6" max="6" width="14.85546875" style="1" customWidth="1"/>
    <col min="7" max="7" width="20" style="1" customWidth="1"/>
    <col min="8" max="9" width="14" style="1" customWidth="1"/>
    <col min="10" max="10" width="14.85546875" style="15" customWidth="1"/>
    <col min="11" max="11" width="15.7109375" style="15" customWidth="1"/>
    <col min="12" max="12" width="14.140625" style="1" customWidth="1"/>
    <col min="13" max="13" width="19" style="1" customWidth="1"/>
    <col min="14" max="16384" width="9.140625" style="1"/>
  </cols>
  <sheetData>
    <row r="1" spans="1:13" s="15" customFormat="1" ht="32.25" customHeight="1" x14ac:dyDescent="0.25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15" customFormat="1" ht="46.5" customHeight="1" x14ac:dyDescent="0.25">
      <c r="A2" s="65" t="s">
        <v>2</v>
      </c>
      <c r="B2" s="65" t="s">
        <v>0</v>
      </c>
      <c r="C2" s="65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33" customFormat="1" ht="38.25" customHeight="1" x14ac:dyDescent="0.25">
      <c r="A3" s="66"/>
      <c r="B3" s="66"/>
      <c r="C3" s="66"/>
      <c r="D3" s="68" t="s">
        <v>38</v>
      </c>
      <c r="E3" s="64"/>
      <c r="F3" s="68" t="s">
        <v>18</v>
      </c>
      <c r="G3" s="63"/>
      <c r="H3" s="63"/>
      <c r="I3" s="64"/>
      <c r="J3" s="68" t="s">
        <v>8</v>
      </c>
      <c r="K3" s="63"/>
      <c r="L3" s="63"/>
      <c r="M3" s="64"/>
    </row>
    <row r="4" spans="1:13" s="33" customFormat="1" ht="45.75" customHeight="1" x14ac:dyDescent="0.25">
      <c r="A4" s="66"/>
      <c r="B4" s="66"/>
      <c r="C4" s="66"/>
      <c r="D4" s="68" t="s">
        <v>66</v>
      </c>
      <c r="E4" s="64"/>
      <c r="F4" s="68" t="s">
        <v>65</v>
      </c>
      <c r="G4" s="64"/>
      <c r="H4" s="68" t="s">
        <v>66</v>
      </c>
      <c r="I4" s="64"/>
      <c r="J4" s="68" t="s">
        <v>65</v>
      </c>
      <c r="K4" s="64"/>
      <c r="L4" s="68" t="s">
        <v>66</v>
      </c>
      <c r="M4" s="64"/>
    </row>
    <row r="5" spans="1:13" s="15" customFormat="1" ht="75.75" customHeight="1" x14ac:dyDescent="0.25">
      <c r="A5" s="67"/>
      <c r="B5" s="67"/>
      <c r="C5" s="67"/>
      <c r="D5" s="10" t="s">
        <v>5</v>
      </c>
      <c r="E5" s="34" t="s">
        <v>72</v>
      </c>
      <c r="F5" s="10" t="s">
        <v>5</v>
      </c>
      <c r="G5" s="34" t="s">
        <v>72</v>
      </c>
      <c r="H5" s="10" t="s">
        <v>5</v>
      </c>
      <c r="I5" s="34" t="s">
        <v>72</v>
      </c>
      <c r="J5" s="10" t="s">
        <v>5</v>
      </c>
      <c r="K5" s="34" t="s">
        <v>72</v>
      </c>
      <c r="L5" s="34" t="s">
        <v>5</v>
      </c>
      <c r="M5" s="34" t="s">
        <v>72</v>
      </c>
    </row>
    <row r="6" spans="1:13" s="15" customFormat="1" ht="45" x14ac:dyDescent="0.25">
      <c r="A6" s="14">
        <v>1</v>
      </c>
      <c r="B6" s="13" t="s">
        <v>3</v>
      </c>
      <c r="C6" s="35" t="s">
        <v>35</v>
      </c>
      <c r="D6" s="11">
        <v>1.25</v>
      </c>
      <c r="E6" s="11">
        <f>ROUND(8570*D6*1.0075,2)</f>
        <v>10792.84</v>
      </c>
      <c r="F6" s="11">
        <v>1.39</v>
      </c>
      <c r="G6" s="11">
        <f>ROUND(8570*F6*1.0075,2)</f>
        <v>12001.64</v>
      </c>
      <c r="H6" s="11">
        <v>1.39</v>
      </c>
      <c r="I6" s="11">
        <f>ROUND(8570*H6*1.0075,2)</f>
        <v>12001.64</v>
      </c>
      <c r="J6" s="11">
        <v>2</v>
      </c>
      <c r="K6" s="11">
        <f>ROUND(8570*J6*1.0075,2)</f>
        <v>17268.55</v>
      </c>
      <c r="L6" s="11">
        <v>2</v>
      </c>
      <c r="M6" s="11">
        <f>ROUND(8570*L6*1.0075,2)</f>
        <v>17268.55</v>
      </c>
    </row>
    <row r="7" spans="1:13" s="15" customFormat="1" ht="57" customHeight="1" x14ac:dyDescent="0.25">
      <c r="A7" s="14"/>
      <c r="B7" s="13"/>
      <c r="C7" s="35" t="s">
        <v>42</v>
      </c>
      <c r="D7" s="11"/>
      <c r="E7" s="11">
        <f>ROUND(E6*0.3,2)</f>
        <v>3237.85</v>
      </c>
      <c r="F7" s="11"/>
      <c r="G7" s="11">
        <f>ROUND(G6*0.3,2)</f>
        <v>3600.49</v>
      </c>
      <c r="H7" s="11"/>
      <c r="I7" s="11">
        <f>ROUND(I6*0.3,2)</f>
        <v>3600.49</v>
      </c>
      <c r="J7" s="11"/>
      <c r="K7" s="11">
        <f>ROUND(K6*0.3,2)</f>
        <v>5180.57</v>
      </c>
      <c r="L7" s="11"/>
      <c r="M7" s="11">
        <f>ROUND(M6*0.3,2)</f>
        <v>5180.57</v>
      </c>
    </row>
    <row r="8" spans="1:13" s="15" customFormat="1" ht="55.5" customHeight="1" x14ac:dyDescent="0.25">
      <c r="A8" s="14"/>
      <c r="B8" s="13"/>
      <c r="C8" s="35" t="s">
        <v>41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5" customFormat="1" ht="50.25" customHeight="1" x14ac:dyDescent="0.25">
      <c r="A9" s="13"/>
      <c r="B9" s="13"/>
      <c r="C9" s="35" t="s">
        <v>43</v>
      </c>
      <c r="D9" s="11"/>
      <c r="E9" s="11">
        <f>ROUND((E6+E7)*0.3,2)</f>
        <v>4209.21</v>
      </c>
      <c r="F9" s="12"/>
      <c r="G9" s="11">
        <f>ROUND((G6+G7)*0.3,2)</f>
        <v>4680.6400000000003</v>
      </c>
      <c r="H9" s="11"/>
      <c r="I9" s="11">
        <f>ROUND((I6+I7)*0.3,2)</f>
        <v>4680.6400000000003</v>
      </c>
      <c r="J9" s="12"/>
      <c r="K9" s="11">
        <f>ROUND((K6+K7)*0.3,2)</f>
        <v>6734.74</v>
      </c>
      <c r="L9" s="12"/>
      <c r="M9" s="11">
        <f>ROUND((M6+M7)*0.3,2)</f>
        <v>6734.74</v>
      </c>
    </row>
    <row r="10" spans="1:13" s="15" customFormat="1" ht="50.25" customHeight="1" x14ac:dyDescent="0.25">
      <c r="A10" s="13"/>
      <c r="B10" s="13"/>
      <c r="C10" s="35" t="s">
        <v>54</v>
      </c>
      <c r="D10" s="11"/>
      <c r="E10" s="11">
        <f t="shared" ref="E10" si="0">ROUND(E6*0.25,2)</f>
        <v>2698.21</v>
      </c>
      <c r="F10" s="12"/>
      <c r="G10" s="11"/>
      <c r="H10" s="11"/>
      <c r="I10" s="11">
        <f t="shared" ref="I10" si="1">ROUND(I6*0.25,2)</f>
        <v>3000.41</v>
      </c>
      <c r="J10" s="12"/>
      <c r="K10" s="11"/>
      <c r="L10" s="12"/>
      <c r="M10" s="11">
        <f t="shared" ref="M10" si="2">ROUND(M6*0.25,2)</f>
        <v>4317.1400000000003</v>
      </c>
    </row>
    <row r="11" spans="1:13" s="15" customFormat="1" ht="46.5" customHeight="1" x14ac:dyDescent="0.25">
      <c r="A11" s="13"/>
      <c r="B11" s="13"/>
      <c r="C11" s="35" t="s">
        <v>10</v>
      </c>
      <c r="D11" s="11"/>
      <c r="E11" s="11">
        <f>ROUND((E6+E7)*0.05,2)</f>
        <v>701.53</v>
      </c>
      <c r="F11" s="11"/>
      <c r="G11" s="11">
        <f>ROUND((G6+G7)*0.05,2)</f>
        <v>780.11</v>
      </c>
      <c r="H11" s="11"/>
      <c r="I11" s="11">
        <f>ROUND((I6+I7)*0.05,2)</f>
        <v>780.11</v>
      </c>
      <c r="J11" s="11"/>
      <c r="K11" s="11">
        <f>ROUND((K6+K7)*0.05,2)</f>
        <v>1122.46</v>
      </c>
      <c r="L11" s="11"/>
      <c r="M11" s="11">
        <f>ROUND((M6+M7)*0.05,2)</f>
        <v>1122.46</v>
      </c>
    </row>
    <row r="12" spans="1:13" s="15" customFormat="1" ht="61.5" customHeight="1" x14ac:dyDescent="0.25">
      <c r="A12" s="13"/>
      <c r="B12" s="13"/>
      <c r="C12" s="35" t="s">
        <v>44</v>
      </c>
      <c r="D12" s="11"/>
      <c r="E12" s="11">
        <f>ROUND(E6*0.4,2)</f>
        <v>4317.1400000000003</v>
      </c>
      <c r="F12" s="11"/>
      <c r="G12" s="11">
        <f>ROUND(G6*0.4,2)</f>
        <v>4800.66</v>
      </c>
      <c r="H12" s="11"/>
      <c r="I12" s="11">
        <f>ROUND(I6*0.4,2)</f>
        <v>4800.66</v>
      </c>
      <c r="J12" s="11"/>
      <c r="K12" s="11">
        <f>ROUND(K6*0.4,2)</f>
        <v>6907.42</v>
      </c>
      <c r="L12" s="11"/>
      <c r="M12" s="11">
        <f>ROUND(M6*0.4,2)</f>
        <v>6907.42</v>
      </c>
    </row>
    <row r="13" spans="1:13" s="15" customFormat="1" ht="39.75" customHeight="1" x14ac:dyDescent="0.25">
      <c r="A13" s="13"/>
      <c r="B13" s="13"/>
      <c r="C13" s="35" t="s">
        <v>45</v>
      </c>
      <c r="D13" s="11"/>
      <c r="E13" s="11">
        <f>ROUND(E6*0.2,2)</f>
        <v>2158.5700000000002</v>
      </c>
      <c r="F13" s="11"/>
      <c r="G13" s="11">
        <f>ROUND(G6*0.2,2)</f>
        <v>2400.33</v>
      </c>
      <c r="H13" s="11"/>
      <c r="I13" s="11">
        <f>ROUND(I6*0.2,2)</f>
        <v>2400.33</v>
      </c>
      <c r="J13" s="11"/>
      <c r="K13" s="11">
        <f>ROUND(K6*0.2,2)</f>
        <v>3453.71</v>
      </c>
      <c r="L13" s="11"/>
      <c r="M13" s="11">
        <f>ROUND(M6*0.2,2)</f>
        <v>3453.71</v>
      </c>
    </row>
    <row r="14" spans="1:13" s="15" customFormat="1" ht="28.5" customHeight="1" x14ac:dyDescent="0.25">
      <c r="A14" s="13"/>
      <c r="B14" s="13"/>
      <c r="C14" s="13" t="s">
        <v>11</v>
      </c>
      <c r="D14" s="11"/>
      <c r="E14" s="11">
        <f>ROUND((E6+E7+E8+E9++E11+E12+E13)*0.05,2)</f>
        <v>1270.8599999999999</v>
      </c>
      <c r="F14" s="11"/>
      <c r="G14" s="11">
        <f>ROUND((G6+G7+G8+G9++G11+G12+G13)*0.05,2)</f>
        <v>1413.19</v>
      </c>
      <c r="H14" s="11"/>
      <c r="I14" s="11">
        <f>ROUND((I6+I7+I8+I9++I11+I12+I13+I10)*0.05,2)</f>
        <v>1563.21</v>
      </c>
      <c r="J14" s="11"/>
      <c r="K14" s="11">
        <f>ROUND((K6+K7+K8+K9++K11+K12+K13)*0.05,2)</f>
        <v>2033.37</v>
      </c>
      <c r="L14" s="11"/>
      <c r="M14" s="11">
        <f>ROUND((M6+M7+M8+M9++M11+M12+M13+M10)*0.05,2)</f>
        <v>2249.23</v>
      </c>
    </row>
    <row r="15" spans="1:13" s="15" customFormat="1" ht="24.75" customHeight="1" x14ac:dyDescent="0.25">
      <c r="A15" s="13"/>
      <c r="B15" s="13"/>
      <c r="C15" s="13" t="s">
        <v>12</v>
      </c>
      <c r="D15" s="14"/>
      <c r="E15" s="14">
        <f>ROUND((E6+E7+E8+E9+E11+E12+E13)*0.01,2)</f>
        <v>254.17</v>
      </c>
      <c r="F15" s="14"/>
      <c r="G15" s="14">
        <f>ROUND((G6+G7+G8+G9+G11+G12+G13)*0.01,2)</f>
        <v>282.64</v>
      </c>
      <c r="H15" s="14"/>
      <c r="I15" s="14">
        <f>ROUND((I6+I7+I8+I9+I11+I12+I13+I10)*0.01,2)</f>
        <v>312.64</v>
      </c>
      <c r="J15" s="14"/>
      <c r="K15" s="14">
        <f>ROUND((K6+K7+K8+K9+K11+K12+K13)*0.01,2)</f>
        <v>406.67</v>
      </c>
      <c r="L15" s="14"/>
      <c r="M15" s="14">
        <f>ROUND((M6+M7+M8+M9+M11+M12+M13+M10)*0.01,2)</f>
        <v>449.85</v>
      </c>
    </row>
    <row r="16" spans="1:13" s="15" customFormat="1" ht="24.75" customHeight="1" x14ac:dyDescent="0.25">
      <c r="A16" s="13"/>
      <c r="B16" s="13"/>
      <c r="C16" s="13" t="s">
        <v>31</v>
      </c>
      <c r="D16" s="11"/>
      <c r="E16" s="11">
        <f>ROUND(27031.7/29.3*42/12*D6,2)</f>
        <v>4036.3</v>
      </c>
      <c r="F16" s="11"/>
      <c r="G16" s="11">
        <f>ROUND(27031.7/29.3*42/12*F6,2)</f>
        <v>4488.37</v>
      </c>
      <c r="H16" s="11"/>
      <c r="I16" s="11">
        <f>ROUND(27031.7/29.3*42/12*H6,2)</f>
        <v>4488.37</v>
      </c>
      <c r="J16" s="11"/>
      <c r="K16" s="11">
        <f>ROUND(27031.7/29.3*42/12*J6,2)</f>
        <v>6458.09</v>
      </c>
      <c r="L16" s="11"/>
      <c r="M16" s="11">
        <f>ROUND(27031.7/29.3*42/12*L6,2)</f>
        <v>6458.09</v>
      </c>
    </row>
    <row r="17" spans="1:13" s="15" customFormat="1" ht="39" customHeight="1" x14ac:dyDescent="0.25">
      <c r="A17" s="13"/>
      <c r="B17" s="13"/>
      <c r="C17" s="35" t="s">
        <v>13</v>
      </c>
      <c r="D17" s="36"/>
      <c r="E17" s="36">
        <f>ROUND((E6+E7+E8+E9+E11+E12+E14+E15+E16+E13)*0.302,2)</f>
        <v>9355.5</v>
      </c>
      <c r="F17" s="36"/>
      <c r="G17" s="36">
        <f>ROUND((G6+G7+G8+G9+G11+G12+G14+G15+G16+G13)*0.302,2)</f>
        <v>10403.32</v>
      </c>
      <c r="H17" s="36"/>
      <c r="I17" s="36">
        <f>ROUND((I6+I7+I8+I9+I11+I12+I14+I15+I16+I13+I10)*0.302,2)</f>
        <v>11363.81</v>
      </c>
      <c r="J17" s="36"/>
      <c r="K17" s="36">
        <f>ROUND((K6+K7+K8+K9+K11+K12+K14+K15+K16+K13)*0.302,2)</f>
        <v>14968.81</v>
      </c>
      <c r="L17" s="36"/>
      <c r="M17" s="36">
        <f>ROUND((M6+M7+M8+M9+M11+M12+M14+M15+M16+M13+M10)*0.302,2)</f>
        <v>16350.81</v>
      </c>
    </row>
    <row r="18" spans="1:13" s="15" customFormat="1" ht="36" customHeight="1" x14ac:dyDescent="0.25">
      <c r="A18" s="13"/>
      <c r="B18" s="13"/>
      <c r="C18" s="35" t="s">
        <v>16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5" customFormat="1" ht="23.25" customHeight="1" x14ac:dyDescent="0.25">
      <c r="A19" s="13"/>
      <c r="B19" s="13"/>
      <c r="C19" s="37" t="s">
        <v>14</v>
      </c>
      <c r="D19" s="11"/>
      <c r="E19" s="11">
        <f>E6+E7+E8+E9+E11+E12+E14+E15+E17+E16+E13</f>
        <v>40333.97</v>
      </c>
      <c r="F19" s="11"/>
      <c r="G19" s="11">
        <f>G6+G7+G8+G9+G11+G12+G14+G15+G17+G16+G13</f>
        <v>44851.390000000007</v>
      </c>
      <c r="H19" s="11"/>
      <c r="I19" s="11">
        <f>I6+I7+I8+I9+I11+I12+I14+I15+I17+I16+I13+I10</f>
        <v>48992.31</v>
      </c>
      <c r="J19" s="11"/>
      <c r="K19" s="11">
        <f>K6+K7+K8+K9+K11+K12+K14+K15+K17+K16+K13</f>
        <v>64534.389999999992</v>
      </c>
      <c r="L19" s="11"/>
      <c r="M19" s="11">
        <f>M6+M7+M8+M9+M11+M12+M14+M15+M17+M16+M13+M10</f>
        <v>70492.570000000007</v>
      </c>
    </row>
    <row r="20" spans="1:13" s="15" customFormat="1" ht="24.75" customHeight="1" x14ac:dyDescent="0.25">
      <c r="A20" s="13"/>
      <c r="B20" s="13"/>
      <c r="C20" s="37" t="s">
        <v>15</v>
      </c>
      <c r="D20" s="11"/>
      <c r="E20" s="11">
        <f t="shared" ref="E20" si="3">ROUND(E19*12,2)</f>
        <v>484007.64</v>
      </c>
      <c r="F20" s="11"/>
      <c r="G20" s="11">
        <f t="shared" ref="G20:K20" si="4">ROUND(G19*12,2)</f>
        <v>538216.68000000005</v>
      </c>
      <c r="H20" s="11"/>
      <c r="I20" s="11">
        <f t="shared" ref="I20" si="5">ROUND(I19*12,2)</f>
        <v>587907.72</v>
      </c>
      <c r="J20" s="11"/>
      <c r="K20" s="11">
        <f t="shared" si="4"/>
        <v>774412.68</v>
      </c>
      <c r="L20" s="11"/>
      <c r="M20" s="11">
        <f t="shared" ref="M20" si="6">ROUND(M19*12,2)</f>
        <v>845910.84</v>
      </c>
    </row>
    <row r="21" spans="1:13" s="15" customFormat="1" ht="45" x14ac:dyDescent="0.25">
      <c r="A21" s="14">
        <v>2</v>
      </c>
      <c r="B21" s="35" t="s">
        <v>4</v>
      </c>
      <c r="C21" s="35" t="s">
        <v>35</v>
      </c>
      <c r="D21" s="11">
        <v>0.25</v>
      </c>
      <c r="E21" s="11">
        <f>ROUND(7793*1.0075*D21,2)</f>
        <v>1962.86</v>
      </c>
      <c r="F21" s="14">
        <v>0.25</v>
      </c>
      <c r="G21" s="11">
        <f>ROUND(7793*1.0075*F21,2)</f>
        <v>1962.86</v>
      </c>
      <c r="H21" s="11">
        <v>0.25</v>
      </c>
      <c r="I21" s="11">
        <f>ROUND(7793*1.0075*H21,2)</f>
        <v>1962.86</v>
      </c>
      <c r="J21" s="14">
        <v>0.25</v>
      </c>
      <c r="K21" s="11">
        <f>ROUND(7793*1.0075*J21,2)</f>
        <v>1962.86</v>
      </c>
      <c r="L21" s="14">
        <v>0.25</v>
      </c>
      <c r="M21" s="11">
        <f>ROUND(7793*1.0075*L21,2)</f>
        <v>1962.86</v>
      </c>
    </row>
    <row r="22" spans="1:13" s="15" customFormat="1" ht="45" x14ac:dyDescent="0.25">
      <c r="A22" s="13"/>
      <c r="B22" s="13"/>
      <c r="C22" s="35" t="s">
        <v>42</v>
      </c>
      <c r="D22" s="11"/>
      <c r="E22" s="11">
        <f>ROUND(E21*0.3,2)</f>
        <v>588.86</v>
      </c>
      <c r="F22" s="13"/>
      <c r="G22" s="11">
        <f>ROUND(G21*0.3,2)</f>
        <v>588.86</v>
      </c>
      <c r="H22" s="11"/>
      <c r="I22" s="11">
        <f>ROUND(I21*0.3,2)</f>
        <v>588.86</v>
      </c>
      <c r="J22" s="13"/>
      <c r="K22" s="11">
        <f>ROUND(K21*0.3,2)</f>
        <v>588.86</v>
      </c>
      <c r="L22" s="13"/>
      <c r="M22" s="11">
        <f>ROUND(M21*0.3,2)</f>
        <v>588.86</v>
      </c>
    </row>
    <row r="23" spans="1:13" s="15" customFormat="1" ht="45.75" customHeight="1" x14ac:dyDescent="0.25">
      <c r="A23" s="13"/>
      <c r="B23" s="13"/>
      <c r="C23" s="35" t="s">
        <v>41</v>
      </c>
      <c r="D23" s="11"/>
      <c r="E23" s="11"/>
      <c r="F23" s="13"/>
      <c r="G23" s="11"/>
      <c r="H23" s="11"/>
      <c r="I23" s="11"/>
      <c r="J23" s="13"/>
      <c r="K23" s="11"/>
      <c r="L23" s="13"/>
      <c r="M23" s="11"/>
    </row>
    <row r="24" spans="1:13" s="15" customFormat="1" ht="60" x14ac:dyDescent="0.25">
      <c r="A24" s="13"/>
      <c r="B24" s="13"/>
      <c r="C24" s="35" t="s">
        <v>43</v>
      </c>
      <c r="D24" s="11"/>
      <c r="E24" s="11">
        <f>ROUND((E21+E22)*0.3,2)</f>
        <v>765.52</v>
      </c>
      <c r="F24" s="13"/>
      <c r="G24" s="11">
        <f>ROUND((G21+G22)*0.3,2)</f>
        <v>765.52</v>
      </c>
      <c r="H24" s="11"/>
      <c r="I24" s="11">
        <f>ROUND((I21+I22)*0.3,2)</f>
        <v>765.52</v>
      </c>
      <c r="J24" s="13"/>
      <c r="K24" s="11">
        <f>ROUND((K21+K22)*0.3,2)</f>
        <v>765.52</v>
      </c>
      <c r="L24" s="13"/>
      <c r="M24" s="11">
        <f>ROUND((M21+M22)*0.3,2)</f>
        <v>765.52</v>
      </c>
    </row>
    <row r="25" spans="1:13" s="15" customFormat="1" ht="52.5" customHeight="1" x14ac:dyDescent="0.25">
      <c r="A25" s="13"/>
      <c r="B25" s="13"/>
      <c r="C25" s="35" t="s">
        <v>54</v>
      </c>
      <c r="D25" s="11"/>
      <c r="E25" s="11">
        <f t="shared" ref="E25" si="7">ROUND(E21*0.25,2)</f>
        <v>490.72</v>
      </c>
      <c r="F25" s="13"/>
      <c r="G25" s="11"/>
      <c r="H25" s="11"/>
      <c r="I25" s="11">
        <f t="shared" ref="I25" si="8">ROUND(I21*0.25,2)</f>
        <v>490.72</v>
      </c>
      <c r="J25" s="13"/>
      <c r="K25" s="11"/>
      <c r="L25" s="13"/>
      <c r="M25" s="11">
        <f t="shared" ref="M25" si="9">ROUND(M21*0.25,2)</f>
        <v>490.72</v>
      </c>
    </row>
    <row r="26" spans="1:13" s="15" customFormat="1" ht="45" x14ac:dyDescent="0.25">
      <c r="A26" s="13"/>
      <c r="B26" s="13"/>
      <c r="C26" s="35" t="s">
        <v>10</v>
      </c>
      <c r="D26" s="36"/>
      <c r="E26" s="36">
        <f>ROUND((E21+E22)*0.05,2)</f>
        <v>127.59</v>
      </c>
      <c r="F26" s="11"/>
      <c r="G26" s="11">
        <f>ROUND((G21+G22)*0.05,2)</f>
        <v>127.59</v>
      </c>
      <c r="H26" s="11"/>
      <c r="I26" s="11">
        <f>ROUND((I21+I22)*0.05,2)</f>
        <v>127.59</v>
      </c>
      <c r="J26" s="11"/>
      <c r="K26" s="11">
        <f>ROUND((K21+K22)*0.05,2)</f>
        <v>127.59</v>
      </c>
      <c r="L26" s="11"/>
      <c r="M26" s="11">
        <f>ROUND((M21+M22)*0.05,2)</f>
        <v>127.59</v>
      </c>
    </row>
    <row r="27" spans="1:13" s="15" customFormat="1" ht="45" x14ac:dyDescent="0.25">
      <c r="A27" s="13"/>
      <c r="B27" s="13"/>
      <c r="C27" s="35" t="s">
        <v>44</v>
      </c>
      <c r="D27" s="36"/>
      <c r="E27" s="36">
        <f>ROUND(E21*0.4,2)</f>
        <v>785.14</v>
      </c>
      <c r="F27" s="11"/>
      <c r="G27" s="11">
        <f>ROUND(G21*0.4,2)</f>
        <v>785.14</v>
      </c>
      <c r="H27" s="11"/>
      <c r="I27" s="11">
        <f>ROUND(I21*0.4,2)</f>
        <v>785.14</v>
      </c>
      <c r="J27" s="11"/>
      <c r="K27" s="11">
        <f>ROUND(K21*0.4,2)</f>
        <v>785.14</v>
      </c>
      <c r="L27" s="11"/>
      <c r="M27" s="11">
        <f>ROUND(M21*0.4,2)</f>
        <v>785.14</v>
      </c>
    </row>
    <row r="28" spans="1:13" s="15" customFormat="1" ht="35.25" customHeight="1" x14ac:dyDescent="0.25">
      <c r="A28" s="13"/>
      <c r="B28" s="13"/>
      <c r="C28" s="35" t="s">
        <v>45</v>
      </c>
      <c r="D28" s="36"/>
      <c r="E28" s="36">
        <f>ROUND(E21*0.2,2)</f>
        <v>392.57</v>
      </c>
      <c r="F28" s="11"/>
      <c r="G28" s="11">
        <f>ROUND(G21*0.2,2)</f>
        <v>392.57</v>
      </c>
      <c r="H28" s="11"/>
      <c r="I28" s="11">
        <f>ROUND(I21*0.2,2)</f>
        <v>392.57</v>
      </c>
      <c r="J28" s="11"/>
      <c r="K28" s="11">
        <f>ROUND(K21*0.2,2)</f>
        <v>392.57</v>
      </c>
      <c r="L28" s="11"/>
      <c r="M28" s="11">
        <f>ROUND(M21*0.2,2)</f>
        <v>392.57</v>
      </c>
    </row>
    <row r="29" spans="1:13" s="15" customFormat="1" x14ac:dyDescent="0.25">
      <c r="A29" s="13"/>
      <c r="B29" s="13"/>
      <c r="C29" s="13" t="s">
        <v>11</v>
      </c>
      <c r="D29" s="11"/>
      <c r="E29" s="11">
        <f>ROUND((E21+E22+E23++E24+E26+E27+E28+E25)*0.05,2)</f>
        <v>255.66</v>
      </c>
      <c r="F29" s="11"/>
      <c r="G29" s="11">
        <f>ROUND((G21+G22+G23++G24+G26+G27+G28+G25)*0.05,2)</f>
        <v>231.13</v>
      </c>
      <c r="H29" s="11"/>
      <c r="I29" s="11">
        <f>ROUND((I21+I22+I23++I24+I26+I27+I28+I25)*0.05,2)</f>
        <v>255.66</v>
      </c>
      <c r="J29" s="11"/>
      <c r="K29" s="11">
        <f>ROUND((K21+K22+K23++K24+K26+K27+K28+K25)*0.05,2)</f>
        <v>231.13</v>
      </c>
      <c r="L29" s="11"/>
      <c r="M29" s="11">
        <f>ROUND((M21+M22+M23++M24+M26+M27+M28+M25)*0.05,2)</f>
        <v>255.66</v>
      </c>
    </row>
    <row r="30" spans="1:13" s="15" customFormat="1" x14ac:dyDescent="0.25">
      <c r="A30" s="13"/>
      <c r="B30" s="13"/>
      <c r="C30" s="13" t="s">
        <v>12</v>
      </c>
      <c r="D30" s="14"/>
      <c r="E30" s="14">
        <f>ROUND((E21+E22+E23+E24+E26+E27+E28+E25)*0.01,2)</f>
        <v>51.13</v>
      </c>
      <c r="F30" s="14"/>
      <c r="G30" s="14">
        <f>ROUND((G21+G22+G23+G24+G26+G27+G28+G25)*0.01,2)</f>
        <v>46.23</v>
      </c>
      <c r="H30" s="14"/>
      <c r="I30" s="14">
        <f>ROUND((I21+I22+I23+I24+I26+I27+I28+I25)*0.01,2)</f>
        <v>51.13</v>
      </c>
      <c r="J30" s="14"/>
      <c r="K30" s="14">
        <f>ROUND((K21+K22+K23+K24+K26+K27+K28+K25)*0.01,2)</f>
        <v>46.23</v>
      </c>
      <c r="L30" s="14"/>
      <c r="M30" s="14">
        <f>ROUND((M21+M22+M23+M24+M26+M27+M28+M25)*0.01,2)</f>
        <v>51.13</v>
      </c>
    </row>
    <row r="31" spans="1:13" s="15" customFormat="1" ht="30" x14ac:dyDescent="0.25">
      <c r="A31" s="13"/>
      <c r="B31" s="13"/>
      <c r="C31" s="35" t="s">
        <v>13</v>
      </c>
      <c r="D31" s="36"/>
      <c r="E31" s="36">
        <f>ROUND((E21+E22+E23+E24+E26+E27+E29+E30+E28+E25)*0.302,2)</f>
        <v>1636.86</v>
      </c>
      <c r="F31" s="36"/>
      <c r="G31" s="36">
        <f>ROUND((G21+G22+G23+G24+G26+G27+G29+G30+G28+G25)*0.302,2)</f>
        <v>1479.77</v>
      </c>
      <c r="H31" s="36"/>
      <c r="I31" s="36">
        <f>ROUND((I21+I22+I23+I24+I26+I27+I29+I30+I28+I25)*0.302,2)</f>
        <v>1636.86</v>
      </c>
      <c r="J31" s="36"/>
      <c r="K31" s="36">
        <f>ROUND((K21+K22+K23+K24+K26+K27+K29+K30+K28+K25)*0.302,2)</f>
        <v>1479.77</v>
      </c>
      <c r="L31" s="36"/>
      <c r="M31" s="36">
        <f>ROUND((M21+M22+M23+M24+M26+M27+M29+M30+M28+M25)*0.302,2)</f>
        <v>1636.86</v>
      </c>
    </row>
    <row r="32" spans="1:13" s="15" customFormat="1" ht="52.5" customHeight="1" x14ac:dyDescent="0.25">
      <c r="A32" s="13"/>
      <c r="B32" s="13"/>
      <c r="C32" s="35" t="s">
        <v>20</v>
      </c>
      <c r="D32" s="36"/>
      <c r="E32" s="36"/>
      <c r="F32" s="11"/>
      <c r="G32" s="11"/>
      <c r="H32" s="11"/>
      <c r="I32" s="11"/>
      <c r="J32" s="11"/>
      <c r="K32" s="11"/>
      <c r="L32" s="11"/>
      <c r="M32" s="11"/>
    </row>
    <row r="33" spans="1:13" s="15" customFormat="1" x14ac:dyDescent="0.25">
      <c r="A33" s="13"/>
      <c r="B33" s="13"/>
      <c r="C33" s="37" t="s">
        <v>14</v>
      </c>
      <c r="D33" s="36"/>
      <c r="E33" s="36">
        <f>E21+E22+E23+E24+E26+E27+E29+E30+E31+E28+E25</f>
        <v>7056.91</v>
      </c>
      <c r="F33" s="11"/>
      <c r="G33" s="11">
        <f>G21+G22+G23+G24+G26+G27+G29+G30+G31+G28+G25</f>
        <v>6379.67</v>
      </c>
      <c r="H33" s="11"/>
      <c r="I33" s="11">
        <f>I21+I22+I23+I24+I26+I27+I29+I30+I31+I28+I25</f>
        <v>7056.91</v>
      </c>
      <c r="J33" s="11"/>
      <c r="K33" s="11">
        <f>K21+K22+K23+K24+K26+K27+K29+K30+K31+K28+K25</f>
        <v>6379.67</v>
      </c>
      <c r="L33" s="11"/>
      <c r="M33" s="11">
        <f>M21+M22+M23+M24+M26+M27+M29+M30+M31+M28+M25</f>
        <v>7056.91</v>
      </c>
    </row>
    <row r="34" spans="1:13" s="15" customFormat="1" x14ac:dyDescent="0.25">
      <c r="A34" s="13"/>
      <c r="B34" s="13"/>
      <c r="C34" s="37" t="s">
        <v>15</v>
      </c>
      <c r="D34" s="36"/>
      <c r="E34" s="36">
        <f t="shared" ref="E34" si="10">ROUND(E33*12,2)</f>
        <v>84682.92</v>
      </c>
      <c r="F34" s="11"/>
      <c r="G34" s="11">
        <f t="shared" ref="G34:M34" si="11">ROUND(G33*12,2)</f>
        <v>76556.039999999994</v>
      </c>
      <c r="H34" s="11"/>
      <c r="I34" s="11">
        <f t="shared" ref="I34" si="12">ROUND(I33*12,2)</f>
        <v>84682.92</v>
      </c>
      <c r="J34" s="11"/>
      <c r="K34" s="11">
        <f t="shared" si="11"/>
        <v>76556.039999999994</v>
      </c>
      <c r="L34" s="11"/>
      <c r="M34" s="11">
        <f t="shared" si="11"/>
        <v>84682.92</v>
      </c>
    </row>
    <row r="35" spans="1:13" s="15" customFormat="1" ht="45" x14ac:dyDescent="0.25">
      <c r="A35" s="14">
        <v>3</v>
      </c>
      <c r="B35" s="35" t="s">
        <v>26</v>
      </c>
      <c r="C35" s="35" t="s">
        <v>35</v>
      </c>
      <c r="D35" s="38">
        <v>0.125</v>
      </c>
      <c r="E35" s="11">
        <f>ROUND(7793*1.0075*D35,2)</f>
        <v>981.43</v>
      </c>
      <c r="F35" s="17">
        <v>0.125</v>
      </c>
      <c r="G35" s="11">
        <f>ROUND(7793*1.0075*F35,2)</f>
        <v>981.43</v>
      </c>
      <c r="H35" s="38">
        <v>0.125</v>
      </c>
      <c r="I35" s="11">
        <f>ROUND(7793*1.0075*H35,2)</f>
        <v>981.43</v>
      </c>
      <c r="J35" s="17">
        <v>0.125</v>
      </c>
      <c r="K35" s="11">
        <f>ROUND(7793*1.0075*J35,2)</f>
        <v>981.43</v>
      </c>
      <c r="L35" s="17">
        <v>0.125</v>
      </c>
      <c r="M35" s="11">
        <f>ROUND(7793*1.0075*L35,2)</f>
        <v>981.43</v>
      </c>
    </row>
    <row r="36" spans="1:13" s="15" customFormat="1" ht="45" x14ac:dyDescent="0.25">
      <c r="A36" s="13"/>
      <c r="B36" s="13"/>
      <c r="C36" s="35" t="s">
        <v>42</v>
      </c>
      <c r="D36" s="36"/>
      <c r="E36" s="36">
        <f>ROUND(E35*0.3,2)</f>
        <v>294.43</v>
      </c>
      <c r="F36" s="13"/>
      <c r="G36" s="11">
        <f>ROUND(G35*0.3,2)</f>
        <v>294.43</v>
      </c>
      <c r="H36" s="11"/>
      <c r="I36" s="11">
        <f>ROUND(I35*0.3,2)</f>
        <v>294.43</v>
      </c>
      <c r="J36" s="13"/>
      <c r="K36" s="11">
        <f>ROUND(K35*0.3,2)</f>
        <v>294.43</v>
      </c>
      <c r="L36" s="13"/>
      <c r="M36" s="11">
        <f>ROUND(M35*0.3,2)</f>
        <v>294.43</v>
      </c>
    </row>
    <row r="37" spans="1:13" s="15" customFormat="1" ht="45" x14ac:dyDescent="0.25">
      <c r="A37" s="13"/>
      <c r="B37" s="13"/>
      <c r="C37" s="35" t="s">
        <v>41</v>
      </c>
      <c r="D37" s="36"/>
      <c r="E37" s="36"/>
      <c r="F37" s="13"/>
      <c r="G37" s="11"/>
      <c r="H37" s="11"/>
      <c r="I37" s="11"/>
      <c r="J37" s="13"/>
      <c r="K37" s="11"/>
      <c r="L37" s="13"/>
      <c r="M37" s="11"/>
    </row>
    <row r="38" spans="1:13" s="15" customFormat="1" ht="60" x14ac:dyDescent="0.25">
      <c r="A38" s="13"/>
      <c r="B38" s="13"/>
      <c r="C38" s="35" t="s">
        <v>43</v>
      </c>
      <c r="D38" s="36"/>
      <c r="E38" s="36">
        <f>ROUND((E35+E36)*0.3,2)</f>
        <v>382.76</v>
      </c>
      <c r="F38" s="13"/>
      <c r="G38" s="11">
        <f>ROUND((G35+G36)*0.3,2)</f>
        <v>382.76</v>
      </c>
      <c r="H38" s="11"/>
      <c r="I38" s="11">
        <f>ROUND((I35+I36)*0.3,2)</f>
        <v>382.76</v>
      </c>
      <c r="J38" s="13"/>
      <c r="K38" s="11">
        <f>ROUND((K35+K36)*0.3,2)</f>
        <v>382.76</v>
      </c>
      <c r="L38" s="13"/>
      <c r="M38" s="11">
        <f>ROUND((M35+M36)*0.3,2)</f>
        <v>382.76</v>
      </c>
    </row>
    <row r="39" spans="1:13" s="15" customFormat="1" ht="48.75" customHeight="1" x14ac:dyDescent="0.25">
      <c r="A39" s="13"/>
      <c r="B39" s="13"/>
      <c r="C39" s="35" t="s">
        <v>54</v>
      </c>
      <c r="D39" s="36"/>
      <c r="E39" s="11">
        <f t="shared" ref="E39" si="13">ROUND(E35*0.25,2)</f>
        <v>245.36</v>
      </c>
      <c r="F39" s="13"/>
      <c r="G39" s="11"/>
      <c r="H39" s="11"/>
      <c r="I39" s="11">
        <f t="shared" ref="I39" si="14">ROUND(I35*0.25,2)</f>
        <v>245.36</v>
      </c>
      <c r="J39" s="13"/>
      <c r="K39" s="11"/>
      <c r="L39" s="13"/>
      <c r="M39" s="11">
        <f t="shared" ref="M39" si="15">ROUND(M35*0.25,2)</f>
        <v>245.36</v>
      </c>
    </row>
    <row r="40" spans="1:13" s="15" customFormat="1" ht="45" x14ac:dyDescent="0.25">
      <c r="A40" s="13"/>
      <c r="B40" s="13"/>
      <c r="C40" s="35" t="s">
        <v>10</v>
      </c>
      <c r="D40" s="36"/>
      <c r="E40" s="36">
        <f>ROUND((E35+E36)*0.05,2)</f>
        <v>63.79</v>
      </c>
      <c r="F40" s="11"/>
      <c r="G40" s="11">
        <f>ROUND((G35+G36)*0.05,2)</f>
        <v>63.79</v>
      </c>
      <c r="H40" s="11"/>
      <c r="I40" s="11">
        <f>ROUND((I35+I36)*0.05,2)</f>
        <v>63.79</v>
      </c>
      <c r="J40" s="11"/>
      <c r="K40" s="11">
        <f>ROUND((K35+K36)*0.05,2)</f>
        <v>63.79</v>
      </c>
      <c r="L40" s="11"/>
      <c r="M40" s="11">
        <f>ROUND((M35+M36)*0.05,2)</f>
        <v>63.79</v>
      </c>
    </row>
    <row r="41" spans="1:13" s="15" customFormat="1" ht="45" x14ac:dyDescent="0.25">
      <c r="A41" s="13"/>
      <c r="B41" s="13"/>
      <c r="C41" s="35" t="s">
        <v>44</v>
      </c>
      <c r="D41" s="36"/>
      <c r="E41" s="36">
        <f>ROUND(E35*0.4,2)</f>
        <v>392.57</v>
      </c>
      <c r="F41" s="11"/>
      <c r="G41" s="11">
        <f>ROUND(G35*0.4,2)</f>
        <v>392.57</v>
      </c>
      <c r="H41" s="11"/>
      <c r="I41" s="11">
        <f>ROUND(I35*0.4,2)</f>
        <v>392.57</v>
      </c>
      <c r="J41" s="11"/>
      <c r="K41" s="11">
        <f>ROUND(K35*0.4,2)</f>
        <v>392.57</v>
      </c>
      <c r="L41" s="11"/>
      <c r="M41" s="11">
        <f>ROUND(M35*0.4,2)</f>
        <v>392.57</v>
      </c>
    </row>
    <row r="42" spans="1:13" s="15" customFormat="1" ht="36.75" customHeight="1" x14ac:dyDescent="0.25">
      <c r="A42" s="13"/>
      <c r="B42" s="13"/>
      <c r="C42" s="35" t="s">
        <v>45</v>
      </c>
      <c r="D42" s="36"/>
      <c r="E42" s="36">
        <f>ROUND(E35*0.2,2)</f>
        <v>196.29</v>
      </c>
      <c r="F42" s="11"/>
      <c r="G42" s="11">
        <f>ROUND(G35*0.2,2)</f>
        <v>196.29</v>
      </c>
      <c r="H42" s="11"/>
      <c r="I42" s="11">
        <f>ROUND(I35*0.2,2)</f>
        <v>196.29</v>
      </c>
      <c r="J42" s="11"/>
      <c r="K42" s="11">
        <f>ROUND(K35*0.2,2)</f>
        <v>196.29</v>
      </c>
      <c r="L42" s="11"/>
      <c r="M42" s="11">
        <f>ROUND(M35*0.2,2)</f>
        <v>196.29</v>
      </c>
    </row>
    <row r="43" spans="1:13" s="15" customFormat="1" ht="26.25" customHeight="1" x14ac:dyDescent="0.25">
      <c r="A43" s="13"/>
      <c r="B43" s="13"/>
      <c r="C43" s="13" t="s">
        <v>11</v>
      </c>
      <c r="D43" s="11"/>
      <c r="E43" s="11">
        <f>ROUND((E35+E36+E37+E38+E40+E41+E42+E39)*0.05,2)</f>
        <v>127.83</v>
      </c>
      <c r="F43" s="11"/>
      <c r="G43" s="11">
        <f>ROUND((G35+G36+G37+G38+G40+G41+G42+G39)*0.05,2)</f>
        <v>115.56</v>
      </c>
      <c r="H43" s="11"/>
      <c r="I43" s="11">
        <f>ROUND((I35+I36+I37+I38+I40+I41+I42+I39)*0.05,2)</f>
        <v>127.83</v>
      </c>
      <c r="J43" s="11"/>
      <c r="K43" s="11">
        <f>ROUND((K35+K36+K37+K38+K40+K41+K42+K39)*0.05,2)</f>
        <v>115.56</v>
      </c>
      <c r="L43" s="11"/>
      <c r="M43" s="11">
        <f>ROUND((M35+M36+M37+M38+M40+M41+M42+M39)*0.05,2)</f>
        <v>127.83</v>
      </c>
    </row>
    <row r="44" spans="1:13" s="15" customFormat="1" x14ac:dyDescent="0.25">
      <c r="A44" s="13"/>
      <c r="B44" s="13"/>
      <c r="C44" s="13" t="s">
        <v>12</v>
      </c>
      <c r="D44" s="14"/>
      <c r="E44" s="14">
        <f>ROUND((E35+E36+E37+E38+E40+E41+E42+E39)*0.01,2)</f>
        <v>25.57</v>
      </c>
      <c r="F44" s="14"/>
      <c r="G44" s="14">
        <f>ROUND((G35+G36+G37+G38+G40+G41+G42+G39)*0.01,2)</f>
        <v>23.11</v>
      </c>
      <c r="H44" s="14"/>
      <c r="I44" s="14">
        <f>ROUND((I35+I36+I37+I38+I40+I41+I42+I39)*0.01,2)</f>
        <v>25.57</v>
      </c>
      <c r="J44" s="14"/>
      <c r="K44" s="14">
        <f>ROUND((K35+K36+K37+K38+K40+K41+K42+K39)*0.01,2)</f>
        <v>23.11</v>
      </c>
      <c r="L44" s="14"/>
      <c r="M44" s="14">
        <f>ROUND((M35+M36+M37+M38+M40+M41+M42+M39)*0.01,2)</f>
        <v>25.57</v>
      </c>
    </row>
    <row r="45" spans="1:13" s="15" customFormat="1" ht="30" x14ac:dyDescent="0.25">
      <c r="A45" s="13"/>
      <c r="B45" s="13"/>
      <c r="C45" s="35" t="s">
        <v>13</v>
      </c>
      <c r="D45" s="36"/>
      <c r="E45" s="36">
        <f>ROUND((E35+E36+E37+E38+E40+E41+E43+E44+E42+E39)*0.302,2)</f>
        <v>818.43</v>
      </c>
      <c r="F45" s="36"/>
      <c r="G45" s="36">
        <f>ROUND((G35+G36+G37+G38+G40+G41+G43+G44+G42+G39)*0.302,2)</f>
        <v>739.88</v>
      </c>
      <c r="H45" s="36"/>
      <c r="I45" s="36">
        <f>ROUND((I35+I36+I37+I38+I40+I41+I43+I44+I42+I39)*0.302,2)</f>
        <v>818.43</v>
      </c>
      <c r="J45" s="36"/>
      <c r="K45" s="36">
        <f>ROUND((K35+K36+K37+K38+K40+K41+K43+K44+K42+K39)*0.302,2)</f>
        <v>739.88</v>
      </c>
      <c r="L45" s="36"/>
      <c r="M45" s="36">
        <f>ROUND((M35+M36+M37+M38+M40+M41+M43+M44+M42+M39)*0.302,2)</f>
        <v>818.43</v>
      </c>
    </row>
    <row r="46" spans="1:13" s="15" customFormat="1" ht="55.5" customHeight="1" x14ac:dyDescent="0.25">
      <c r="A46" s="13"/>
      <c r="B46" s="13"/>
      <c r="C46" s="35" t="s">
        <v>21</v>
      </c>
      <c r="D46" s="36"/>
      <c r="E46" s="36"/>
      <c r="F46" s="11"/>
      <c r="G46" s="11"/>
      <c r="H46" s="11"/>
      <c r="I46" s="11"/>
      <c r="J46" s="11"/>
      <c r="K46" s="11"/>
      <c r="L46" s="11"/>
      <c r="M46" s="11"/>
    </row>
    <row r="47" spans="1:13" s="15" customFormat="1" x14ac:dyDescent="0.25">
      <c r="A47" s="13"/>
      <c r="B47" s="13"/>
      <c r="C47" s="37" t="s">
        <v>14</v>
      </c>
      <c r="D47" s="36"/>
      <c r="E47" s="36">
        <f>E35+E36+E37+E38+E40+E41+E43+E44+E45+E42+E39</f>
        <v>3528.46</v>
      </c>
      <c r="F47" s="11"/>
      <c r="G47" s="11">
        <f>G35+G36+G37+G38+G40+G41+G43+G44+G45+G42+G39</f>
        <v>3189.82</v>
      </c>
      <c r="H47" s="11"/>
      <c r="I47" s="11">
        <f>I35+I36+I37+I38+I40+I41+I43+I44+I45+I42+I39</f>
        <v>3528.46</v>
      </c>
      <c r="J47" s="11"/>
      <c r="K47" s="11">
        <f>K35+K36+K37+K38+K40+K41+K43+K44+K45+K42+K39</f>
        <v>3189.82</v>
      </c>
      <c r="L47" s="11"/>
      <c r="M47" s="11">
        <f>M35+M36+M37+M38+M40+M41+M43+M44+M45+M42+M39</f>
        <v>3528.46</v>
      </c>
    </row>
    <row r="48" spans="1:13" s="15" customFormat="1" x14ac:dyDescent="0.25">
      <c r="A48" s="13"/>
      <c r="B48" s="13"/>
      <c r="C48" s="37" t="s">
        <v>15</v>
      </c>
      <c r="D48" s="36"/>
      <c r="E48" s="36">
        <f t="shared" ref="E48" si="16">ROUND(E47*12,2)</f>
        <v>42341.52</v>
      </c>
      <c r="F48" s="11"/>
      <c r="G48" s="11">
        <f t="shared" ref="G48:M48" si="17">ROUND(G47*12,2)</f>
        <v>38277.839999999997</v>
      </c>
      <c r="H48" s="11"/>
      <c r="I48" s="11">
        <f t="shared" ref="I48" si="18">ROUND(I47*12,2)</f>
        <v>42341.52</v>
      </c>
      <c r="J48" s="11"/>
      <c r="K48" s="11">
        <f t="shared" si="17"/>
        <v>38277.839999999997</v>
      </c>
      <c r="L48" s="11"/>
      <c r="M48" s="11">
        <f t="shared" si="17"/>
        <v>42341.52</v>
      </c>
    </row>
    <row r="49" spans="1:13" s="15" customFormat="1" ht="30" x14ac:dyDescent="0.25">
      <c r="A49" s="14">
        <v>4</v>
      </c>
      <c r="B49" s="35" t="s">
        <v>19</v>
      </c>
      <c r="C49" s="35" t="s">
        <v>9</v>
      </c>
      <c r="D49" s="17">
        <v>8.3000000000000004E-2</v>
      </c>
      <c r="E49" s="11">
        <f>ROUND(8570*1.0075*D49,2)</f>
        <v>716.64</v>
      </c>
      <c r="F49" s="17">
        <v>8.3000000000000004E-2</v>
      </c>
      <c r="G49" s="11">
        <f>ROUND(8570*1.0075*F49,2)</f>
        <v>716.64</v>
      </c>
      <c r="H49" s="17">
        <v>8.3000000000000004E-2</v>
      </c>
      <c r="I49" s="11">
        <f>ROUND(8570*1.0075*H49,2)</f>
        <v>716.64</v>
      </c>
      <c r="J49" s="17">
        <v>8.3000000000000004E-2</v>
      </c>
      <c r="K49" s="11">
        <f>ROUND(8570*1.0075*J49,2)</f>
        <v>716.64</v>
      </c>
      <c r="L49" s="17">
        <v>8.3000000000000004E-2</v>
      </c>
      <c r="M49" s="11">
        <f>ROUND(8570*1.0075*L49,2)</f>
        <v>716.64</v>
      </c>
    </row>
    <row r="50" spans="1:13" s="15" customFormat="1" ht="45" x14ac:dyDescent="0.25">
      <c r="A50" s="13"/>
      <c r="B50" s="13"/>
      <c r="C50" s="35" t="s">
        <v>47</v>
      </c>
      <c r="D50" s="36"/>
      <c r="E50" s="36">
        <f>ROUND(E49*0.3,2)</f>
        <v>214.99</v>
      </c>
      <c r="F50" s="13"/>
      <c r="G50" s="11">
        <f>ROUND(G49*0.3,2)</f>
        <v>214.99</v>
      </c>
      <c r="H50" s="11"/>
      <c r="I50" s="11">
        <f>ROUND(I49*0.3,2)</f>
        <v>214.99</v>
      </c>
      <c r="J50" s="13"/>
      <c r="K50" s="11">
        <f>ROUND(K49*0.3,2)</f>
        <v>214.99</v>
      </c>
      <c r="L50" s="13"/>
      <c r="M50" s="11">
        <f>ROUND(M49*0.3,2)</f>
        <v>214.99</v>
      </c>
    </row>
    <row r="51" spans="1:13" s="15" customFormat="1" ht="45" x14ac:dyDescent="0.25">
      <c r="A51" s="13"/>
      <c r="B51" s="13"/>
      <c r="C51" s="35" t="s">
        <v>48</v>
      </c>
      <c r="D51" s="36"/>
      <c r="E51" s="36"/>
      <c r="F51" s="13"/>
      <c r="G51" s="11"/>
      <c r="H51" s="11"/>
      <c r="I51" s="11"/>
      <c r="J51" s="13"/>
      <c r="K51" s="11"/>
      <c r="L51" s="13"/>
      <c r="M51" s="11"/>
    </row>
    <row r="52" spans="1:13" s="15" customFormat="1" ht="60" x14ac:dyDescent="0.25">
      <c r="A52" s="13"/>
      <c r="B52" s="13"/>
      <c r="C52" s="35" t="s">
        <v>53</v>
      </c>
      <c r="D52" s="36"/>
      <c r="E52" s="36">
        <f>ROUND((E49+E50)*0.3,2)</f>
        <v>279.49</v>
      </c>
      <c r="F52" s="13"/>
      <c r="G52" s="11">
        <f>ROUND((G49+G50)*0.3,2)</f>
        <v>279.49</v>
      </c>
      <c r="H52" s="11"/>
      <c r="I52" s="11">
        <f>ROUND((I49+I50)*0.3,2)</f>
        <v>279.49</v>
      </c>
      <c r="J52" s="13"/>
      <c r="K52" s="11">
        <f>ROUND((K49+K50)*0.3,2)</f>
        <v>279.49</v>
      </c>
      <c r="L52" s="13"/>
      <c r="M52" s="11">
        <f>ROUND((M49+M50)*0.3,2)</f>
        <v>279.49</v>
      </c>
    </row>
    <row r="53" spans="1:13" s="15" customFormat="1" ht="47.25" customHeight="1" x14ac:dyDescent="0.25">
      <c r="A53" s="13"/>
      <c r="B53" s="13"/>
      <c r="C53" s="35" t="s">
        <v>54</v>
      </c>
      <c r="D53" s="36"/>
      <c r="E53" s="36">
        <f t="shared" ref="E53" si="19">ROUND(E49*0.25,2)</f>
        <v>179.16</v>
      </c>
      <c r="F53" s="13"/>
      <c r="G53" s="11"/>
      <c r="H53" s="11"/>
      <c r="I53" s="11">
        <f t="shared" ref="I53" si="20">ROUND(I49*0.25,2)</f>
        <v>179.16</v>
      </c>
      <c r="J53" s="13"/>
      <c r="K53" s="11"/>
      <c r="L53" s="13"/>
      <c r="M53" s="11">
        <f t="shared" ref="M53" si="21">ROUND(M49*0.25,2)</f>
        <v>179.16</v>
      </c>
    </row>
    <row r="54" spans="1:13" s="15" customFormat="1" ht="45" x14ac:dyDescent="0.25">
      <c r="A54" s="13"/>
      <c r="B54" s="13"/>
      <c r="C54" s="35" t="s">
        <v>10</v>
      </c>
      <c r="D54" s="36"/>
      <c r="E54" s="36">
        <f>ROUND((E49+E50)*0.05,2)</f>
        <v>46.58</v>
      </c>
      <c r="F54" s="11"/>
      <c r="G54" s="11">
        <f>ROUND((G49+G50)*0.05,2)</f>
        <v>46.58</v>
      </c>
      <c r="H54" s="11"/>
      <c r="I54" s="11">
        <f>ROUND((I49+I50)*0.05,2)</f>
        <v>46.58</v>
      </c>
      <c r="J54" s="11"/>
      <c r="K54" s="11">
        <f>ROUND((K49+K50)*0.05,2)</f>
        <v>46.58</v>
      </c>
      <c r="L54" s="11"/>
      <c r="M54" s="11">
        <f>ROUND((M49+M50)*0.05,2)</f>
        <v>46.58</v>
      </c>
    </row>
    <row r="55" spans="1:13" s="15" customFormat="1" ht="45" x14ac:dyDescent="0.25">
      <c r="A55" s="13"/>
      <c r="B55" s="13"/>
      <c r="C55" s="35" t="s">
        <v>49</v>
      </c>
      <c r="D55" s="36"/>
      <c r="E55" s="36">
        <f>ROUND(E49*0.4,2)</f>
        <v>286.66000000000003</v>
      </c>
      <c r="F55" s="11"/>
      <c r="G55" s="11">
        <f>ROUND(G49*0.4,2)</f>
        <v>286.66000000000003</v>
      </c>
      <c r="H55" s="11"/>
      <c r="I55" s="11">
        <f>ROUND(I49*0.4,2)</f>
        <v>286.66000000000003</v>
      </c>
      <c r="J55" s="11"/>
      <c r="K55" s="11">
        <f>ROUND(K49*0.4,2)</f>
        <v>286.66000000000003</v>
      </c>
      <c r="L55" s="11"/>
      <c r="M55" s="11">
        <f>ROUND(M49*0.4,2)</f>
        <v>286.66000000000003</v>
      </c>
    </row>
    <row r="56" spans="1:13" s="15" customFormat="1" ht="52.5" customHeight="1" x14ac:dyDescent="0.25">
      <c r="A56" s="13"/>
      <c r="B56" s="13"/>
      <c r="C56" s="35" t="s">
        <v>50</v>
      </c>
      <c r="D56" s="36"/>
      <c r="E56" s="36">
        <f>ROUND(E49*0.2,2)</f>
        <v>143.33000000000001</v>
      </c>
      <c r="F56" s="11"/>
      <c r="G56" s="11">
        <f>ROUND(G49*0.2,2)</f>
        <v>143.33000000000001</v>
      </c>
      <c r="H56" s="11"/>
      <c r="I56" s="11">
        <f>ROUND(I49*0.2,2)</f>
        <v>143.33000000000001</v>
      </c>
      <c r="J56" s="11"/>
      <c r="K56" s="11">
        <f>ROUND(K49*0.2,2)</f>
        <v>143.33000000000001</v>
      </c>
      <c r="L56" s="11"/>
      <c r="M56" s="11">
        <f>ROUND(M49*0.2,2)</f>
        <v>143.33000000000001</v>
      </c>
    </row>
    <row r="57" spans="1:13" s="15" customFormat="1" x14ac:dyDescent="0.25">
      <c r="A57" s="13"/>
      <c r="B57" s="13"/>
      <c r="C57" s="13" t="s">
        <v>11</v>
      </c>
      <c r="D57" s="11"/>
      <c r="E57" s="11">
        <f>ROUND((E49+E50+E52+E54+E55+E56+E53)*0.05,2)</f>
        <v>93.34</v>
      </c>
      <c r="F57" s="11"/>
      <c r="G57" s="11">
        <f>ROUND((G49+G50+G52+G54+G55+G56+G53)*0.05,2)</f>
        <v>84.38</v>
      </c>
      <c r="H57" s="11"/>
      <c r="I57" s="11">
        <f>ROUND((I49+I50+I52+I54+I55+I56+I53)*0.05,2)</f>
        <v>93.34</v>
      </c>
      <c r="J57" s="11"/>
      <c r="K57" s="11">
        <f>ROUND((K49+K50+K52+K54+K55+K56+K53)*0.05,2)</f>
        <v>84.38</v>
      </c>
      <c r="L57" s="11"/>
      <c r="M57" s="11">
        <f>ROUND((M49+M50+M52+M54+M55+M56+M53)*0.05,2)</f>
        <v>93.34</v>
      </c>
    </row>
    <row r="58" spans="1:13" s="15" customFormat="1" x14ac:dyDescent="0.25">
      <c r="A58" s="13"/>
      <c r="B58" s="13"/>
      <c r="C58" s="13" t="s">
        <v>12</v>
      </c>
      <c r="D58" s="14"/>
      <c r="E58" s="14">
        <f>ROUND((E49+E50+E51+E52+E54+E55+E56+E53)*0.01,2)</f>
        <v>18.670000000000002</v>
      </c>
      <c r="F58" s="14"/>
      <c r="G58" s="14">
        <f>ROUND((G49+G50+G51+G52+G54+G55+G56+G53)*0.01,2)</f>
        <v>16.88</v>
      </c>
      <c r="H58" s="14"/>
      <c r="I58" s="14">
        <f>ROUND((I49+I50+I51+I52+I54+I55+I56+I53)*0.01,2)</f>
        <v>18.670000000000002</v>
      </c>
      <c r="J58" s="14"/>
      <c r="K58" s="14">
        <f>ROUND((K49+K50+K51+K52+K54+K55+K56+K53)*0.01,2)</f>
        <v>16.88</v>
      </c>
      <c r="L58" s="14"/>
      <c r="M58" s="14">
        <f>ROUND((M49+M50+M51+M52+M54+M55+M56+M53)*0.01,2)</f>
        <v>18.670000000000002</v>
      </c>
    </row>
    <row r="59" spans="1:13" s="15" customFormat="1" ht="30" x14ac:dyDescent="0.25">
      <c r="A59" s="13"/>
      <c r="B59" s="13"/>
      <c r="C59" s="35" t="s">
        <v>13</v>
      </c>
      <c r="D59" s="36"/>
      <c r="E59" s="36">
        <f>ROUND((E49+E50+E51+E52+E54+E55+E57+E58+E56+E53)*0.302,2)</f>
        <v>597.62</v>
      </c>
      <c r="F59" s="36"/>
      <c r="G59" s="36">
        <f>ROUND((G49+G50+G51+G52+G54+G55+G57+G58+G56+G53)*0.302,2)</f>
        <v>540.26</v>
      </c>
      <c r="H59" s="36"/>
      <c r="I59" s="36">
        <f>ROUND((I49+I50+I51+I52+I54+I55+I57+I58+I56+I53)*0.302,2)</f>
        <v>597.62</v>
      </c>
      <c r="J59" s="36"/>
      <c r="K59" s="36">
        <f>ROUND((K49+K50+K51+K52+K54+K55+K57+K58+K56+K53)*0.302,2)</f>
        <v>540.26</v>
      </c>
      <c r="L59" s="36"/>
      <c r="M59" s="36">
        <f>ROUND((M49+M50+M51+M52+M54+M55+M57+M58+M56+M53)*0.302,2)</f>
        <v>597.62</v>
      </c>
    </row>
    <row r="60" spans="1:13" s="15" customFormat="1" ht="30" x14ac:dyDescent="0.25">
      <c r="A60" s="13"/>
      <c r="B60" s="13"/>
      <c r="C60" s="35" t="s">
        <v>46</v>
      </c>
      <c r="D60" s="36"/>
      <c r="E60" s="36"/>
      <c r="F60" s="11"/>
      <c r="G60" s="11"/>
      <c r="H60" s="11"/>
      <c r="I60" s="11"/>
      <c r="J60" s="11"/>
      <c r="K60" s="11"/>
      <c r="L60" s="11"/>
      <c r="M60" s="11"/>
    </row>
    <row r="61" spans="1:13" s="15" customFormat="1" x14ac:dyDescent="0.25">
      <c r="A61" s="13"/>
      <c r="B61" s="13"/>
      <c r="C61" s="37" t="s">
        <v>14</v>
      </c>
      <c r="D61" s="36"/>
      <c r="E61" s="36">
        <f>E49+E50+E51+E52+E54+E55+E57+E58+E59+E56+E53</f>
        <v>2576.4799999999996</v>
      </c>
      <c r="F61" s="11"/>
      <c r="G61" s="11">
        <f>G49+G50+G51+G52+G54+G55+G57+G58+G59+G56+G53</f>
        <v>2329.21</v>
      </c>
      <c r="H61" s="11"/>
      <c r="I61" s="11">
        <f>I49+I50+I51+I52+I54+I55+I57+I58+I59+I56+I53</f>
        <v>2576.4799999999996</v>
      </c>
      <c r="J61" s="11"/>
      <c r="K61" s="11">
        <f>K49+K50+K51+K52+K54+K55+K57+K58+K59+K56+K53</f>
        <v>2329.21</v>
      </c>
      <c r="L61" s="11"/>
      <c r="M61" s="11">
        <f>M49+M50+M51+M52+M54+M55+M57+M58+M59+M56+M53</f>
        <v>2576.4799999999996</v>
      </c>
    </row>
    <row r="62" spans="1:13" s="15" customFormat="1" x14ac:dyDescent="0.25">
      <c r="A62" s="13"/>
      <c r="B62" s="13"/>
      <c r="C62" s="37" t="s">
        <v>15</v>
      </c>
      <c r="D62" s="36"/>
      <c r="E62" s="36">
        <f>ROUND(E61*12,2)</f>
        <v>30917.759999999998</v>
      </c>
      <c r="F62" s="13"/>
      <c r="G62" s="11">
        <f>ROUND(G61*12,2)</f>
        <v>27950.52</v>
      </c>
      <c r="H62" s="11"/>
      <c r="I62" s="11">
        <f>ROUND(I61*12,2)</f>
        <v>30917.759999999998</v>
      </c>
      <c r="J62" s="13"/>
      <c r="K62" s="11">
        <f>ROUND(K61*12,2)</f>
        <v>27950.52</v>
      </c>
      <c r="L62" s="13"/>
      <c r="M62" s="11">
        <f>ROUND(M61*12,2)</f>
        <v>30917.759999999998</v>
      </c>
    </row>
    <row r="63" spans="1:13" s="15" customFormat="1" ht="30" x14ac:dyDescent="0.25">
      <c r="A63" s="14">
        <v>5</v>
      </c>
      <c r="B63" s="35" t="s">
        <v>6</v>
      </c>
      <c r="C63" s="35" t="s">
        <v>9</v>
      </c>
      <c r="D63" s="38">
        <v>1.125</v>
      </c>
      <c r="E63" s="11">
        <f>ROUND(5418*1.0075*D63,0)</f>
        <v>6141</v>
      </c>
      <c r="F63" s="14">
        <v>1.25</v>
      </c>
      <c r="G63" s="11">
        <f>ROUND(5418*1.0075*F63,0)</f>
        <v>6823</v>
      </c>
      <c r="H63" s="11">
        <v>1.25</v>
      </c>
      <c r="I63" s="11">
        <f>ROUND(5418*1.0075*H63,0)</f>
        <v>6823</v>
      </c>
      <c r="J63" s="14">
        <v>1.5</v>
      </c>
      <c r="K63" s="11">
        <f>ROUND(5418*1.0075*J63,0)</f>
        <v>8188</v>
      </c>
      <c r="L63" s="14">
        <v>1.5</v>
      </c>
      <c r="M63" s="11">
        <f>ROUND(5418*1.0075*L63,0)</f>
        <v>8188</v>
      </c>
    </row>
    <row r="64" spans="1:13" s="15" customFormat="1" ht="30" x14ac:dyDescent="0.25">
      <c r="A64" s="14"/>
      <c r="B64" s="35"/>
      <c r="C64" s="35" t="s">
        <v>51</v>
      </c>
      <c r="D64" s="36"/>
      <c r="E64" s="36"/>
      <c r="F64" s="14"/>
      <c r="G64" s="11"/>
      <c r="H64" s="11"/>
      <c r="I64" s="11"/>
      <c r="J64" s="14"/>
      <c r="K64" s="11"/>
      <c r="L64" s="14"/>
      <c r="M64" s="11"/>
    </row>
    <row r="65" spans="1:13" s="15" customFormat="1" ht="45" x14ac:dyDescent="0.25">
      <c r="A65" s="13"/>
      <c r="B65" s="13"/>
      <c r="C65" s="35" t="s">
        <v>52</v>
      </c>
      <c r="D65" s="36"/>
      <c r="E65" s="36">
        <f>ROUND(E63*0.3,0)</f>
        <v>1842</v>
      </c>
      <c r="F65" s="13"/>
      <c r="G65" s="11">
        <f>ROUND(G63*0.3,0)</f>
        <v>2047</v>
      </c>
      <c r="H65" s="11"/>
      <c r="I65" s="11">
        <f>ROUND(I63*0.3,0)</f>
        <v>2047</v>
      </c>
      <c r="J65" s="13"/>
      <c r="K65" s="11">
        <f>ROUND(K63*0.3,0)</f>
        <v>2456</v>
      </c>
      <c r="L65" s="13"/>
      <c r="M65" s="11">
        <f>ROUND(M63*0.3,0)</f>
        <v>2456</v>
      </c>
    </row>
    <row r="66" spans="1:13" s="15" customFormat="1" ht="45" x14ac:dyDescent="0.25">
      <c r="A66" s="13"/>
      <c r="B66" s="13"/>
      <c r="C66" s="35" t="s">
        <v>10</v>
      </c>
      <c r="D66" s="36"/>
      <c r="E66" s="36">
        <f t="shared" ref="E66" si="22">ROUND((E63)*0.05,2)</f>
        <v>307.05</v>
      </c>
      <c r="F66" s="11"/>
      <c r="G66" s="11">
        <f t="shared" ref="G66:M66" si="23">ROUND((G63)*0.05,2)</f>
        <v>341.15</v>
      </c>
      <c r="H66" s="11"/>
      <c r="I66" s="11">
        <f t="shared" ref="I66" si="24">ROUND((I63)*0.05,2)</f>
        <v>341.15</v>
      </c>
      <c r="J66" s="11"/>
      <c r="K66" s="11">
        <f t="shared" si="23"/>
        <v>409.4</v>
      </c>
      <c r="L66" s="11"/>
      <c r="M66" s="11">
        <f t="shared" si="23"/>
        <v>409.4</v>
      </c>
    </row>
    <row r="67" spans="1:13" s="15" customFormat="1" ht="30.75" customHeight="1" x14ac:dyDescent="0.25">
      <c r="A67" s="13"/>
      <c r="B67" s="13"/>
      <c r="C67" s="35" t="s">
        <v>32</v>
      </c>
      <c r="D67" s="36"/>
      <c r="E67" s="36">
        <f t="shared" ref="E67" si="25">ROUND(E63*0.2,2)</f>
        <v>1228.2</v>
      </c>
      <c r="F67" s="11"/>
      <c r="G67" s="11">
        <f t="shared" ref="G67:M67" si="26">ROUND(G63*0.2,2)</f>
        <v>1364.6</v>
      </c>
      <c r="H67" s="11"/>
      <c r="I67" s="11">
        <f t="shared" ref="I67" si="27">ROUND(I63*0.2,2)</f>
        <v>1364.6</v>
      </c>
      <c r="J67" s="11"/>
      <c r="K67" s="11">
        <f t="shared" si="26"/>
        <v>1637.6</v>
      </c>
      <c r="L67" s="11"/>
      <c r="M67" s="11">
        <f t="shared" si="26"/>
        <v>1637.6</v>
      </c>
    </row>
    <row r="68" spans="1:13" s="15" customFormat="1" x14ac:dyDescent="0.25">
      <c r="A68" s="13"/>
      <c r="B68" s="13"/>
      <c r="C68" s="13" t="s">
        <v>11</v>
      </c>
      <c r="D68" s="11"/>
      <c r="E68" s="11">
        <f t="shared" ref="E68" si="28">ROUND((E63+E64+E65+E66+E67)*0.05,0)</f>
        <v>476</v>
      </c>
      <c r="F68" s="11"/>
      <c r="G68" s="11">
        <f t="shared" ref="G68:M68" si="29">ROUND((G63+G64+G65+G66+G67)*0.05,0)</f>
        <v>529</v>
      </c>
      <c r="H68" s="11"/>
      <c r="I68" s="11">
        <f t="shared" ref="I68" si="30">ROUND((I63+I64+I65+I66+I67)*0.05,0)</f>
        <v>529</v>
      </c>
      <c r="J68" s="11"/>
      <c r="K68" s="11">
        <f t="shared" si="29"/>
        <v>635</v>
      </c>
      <c r="L68" s="11"/>
      <c r="M68" s="11">
        <f t="shared" si="29"/>
        <v>635</v>
      </c>
    </row>
    <row r="69" spans="1:13" s="15" customFormat="1" x14ac:dyDescent="0.25">
      <c r="A69" s="13"/>
      <c r="B69" s="13"/>
      <c r="C69" s="13" t="s">
        <v>12</v>
      </c>
      <c r="D69" s="11"/>
      <c r="E69" s="11">
        <f t="shared" ref="E69" si="31">ROUND((E63+E64+E65+E66+E67)*0.01,2)</f>
        <v>95.18</v>
      </c>
      <c r="F69" s="11"/>
      <c r="G69" s="11">
        <f t="shared" ref="G69:M69" si="32">ROUND((G63+G64+G65+G66+G67)*0.01,2)</f>
        <v>105.76</v>
      </c>
      <c r="H69" s="11"/>
      <c r="I69" s="11">
        <f t="shared" ref="I69" si="33">ROUND((I63+I64+I65+I66+I67)*0.01,2)</f>
        <v>105.76</v>
      </c>
      <c r="J69" s="11"/>
      <c r="K69" s="11">
        <f t="shared" si="32"/>
        <v>126.91</v>
      </c>
      <c r="L69" s="11"/>
      <c r="M69" s="11">
        <f t="shared" si="32"/>
        <v>126.91</v>
      </c>
    </row>
    <row r="70" spans="1:13" s="15" customFormat="1" x14ac:dyDescent="0.25">
      <c r="A70" s="13"/>
      <c r="B70" s="13"/>
      <c r="C70" s="13" t="s">
        <v>30</v>
      </c>
      <c r="D70" s="11"/>
      <c r="E70" s="11">
        <f>ROUND((12130-(E63+E64+E65+E66+E68+E67)/D63)*D63,2)</f>
        <v>3652</v>
      </c>
      <c r="F70" s="11"/>
      <c r="G70" s="11">
        <f>ROUND((12130-(G63+G64+G65+G66+G68+G67)/F63)*F63,2)</f>
        <v>4057.75</v>
      </c>
      <c r="H70" s="11"/>
      <c r="I70" s="11">
        <f>ROUND((12130-(I63+I64+I65+I66+I68+I67)/H63)*H63,2)</f>
        <v>4057.75</v>
      </c>
      <c r="J70" s="11"/>
      <c r="K70" s="11">
        <f>ROUND((12130-(K63+K64+K65+K66+K68+K67)/J63)*J63,2)</f>
        <v>4869</v>
      </c>
      <c r="L70" s="11"/>
      <c r="M70" s="11">
        <f>ROUND((12130-(M63+M64+M65+M66+M68+M67)/L63)*L63,2)</f>
        <v>4869</v>
      </c>
    </row>
    <row r="71" spans="1:13" s="15" customFormat="1" x14ac:dyDescent="0.25">
      <c r="A71" s="13"/>
      <c r="B71" s="13"/>
      <c r="C71" s="13" t="s">
        <v>31</v>
      </c>
      <c r="D71" s="11"/>
      <c r="E71" s="11">
        <f>ROUND(12130/29.3*28*D63/365*28,2)</f>
        <v>1000.39</v>
      </c>
      <c r="F71" s="11"/>
      <c r="G71" s="11">
        <f>ROUND(12130/29.3*28*F63/365*28,2)</f>
        <v>1111.54</v>
      </c>
      <c r="H71" s="11"/>
      <c r="I71" s="11">
        <f>ROUND(12130/29.3*28*H63/365*28,2)</f>
        <v>1111.54</v>
      </c>
      <c r="J71" s="11"/>
      <c r="K71" s="11">
        <f>ROUND(12130/29.3*28*J63/365*28,2)</f>
        <v>1333.85</v>
      </c>
      <c r="L71" s="11"/>
      <c r="M71" s="11">
        <f>ROUND(12130/29.3*28*L63/365*28,2)</f>
        <v>1333.85</v>
      </c>
    </row>
    <row r="72" spans="1:13" s="15" customFormat="1" ht="30" x14ac:dyDescent="0.25">
      <c r="A72" s="13"/>
      <c r="B72" s="13"/>
      <c r="C72" s="35" t="s">
        <v>13</v>
      </c>
      <c r="D72" s="36"/>
      <c r="E72" s="36">
        <f t="shared" ref="E72" si="34">ROUND((E63+E64+E65+E66+E68+E69+E70+E71+E67)*0.302,0)</f>
        <v>4452</v>
      </c>
      <c r="F72" s="11"/>
      <c r="G72" s="11">
        <f t="shared" ref="G72:M72" si="35">ROUND((G63+G64+G65+G66+G68+G69+G70+G71+G67)*0.302,0)</f>
        <v>4947</v>
      </c>
      <c r="H72" s="11"/>
      <c r="I72" s="11">
        <f t="shared" ref="I72" si="36">ROUND((I63+I64+I65+I66+I68+I69+I70+I71+I67)*0.302,0)</f>
        <v>4947</v>
      </c>
      <c r="J72" s="11"/>
      <c r="K72" s="11">
        <f t="shared" si="35"/>
        <v>5936</v>
      </c>
      <c r="L72" s="11"/>
      <c r="M72" s="11">
        <f t="shared" si="35"/>
        <v>5936</v>
      </c>
    </row>
    <row r="73" spans="1:13" s="15" customFormat="1" ht="30" x14ac:dyDescent="0.25">
      <c r="A73" s="13"/>
      <c r="B73" s="13"/>
      <c r="C73" s="35" t="s">
        <v>24</v>
      </c>
      <c r="D73" s="36"/>
      <c r="E73" s="36"/>
      <c r="F73" s="11"/>
      <c r="G73" s="11"/>
      <c r="H73" s="11"/>
      <c r="I73" s="11"/>
      <c r="J73" s="11"/>
      <c r="K73" s="11"/>
      <c r="L73" s="11"/>
      <c r="M73" s="11"/>
    </row>
    <row r="74" spans="1:13" s="15" customFormat="1" x14ac:dyDescent="0.25">
      <c r="A74" s="13"/>
      <c r="B74" s="13"/>
      <c r="C74" s="37" t="s">
        <v>14</v>
      </c>
      <c r="D74" s="36"/>
      <c r="E74" s="36">
        <f t="shared" ref="E74" si="37">E63+E64+E65+E66+E68+E69+E72+E70+E71+E67</f>
        <v>19193.82</v>
      </c>
      <c r="F74" s="11"/>
      <c r="G74" s="11">
        <f t="shared" ref="G74:M74" si="38">G63+G64+G65+G66+G68+G69+G72+G70+G71+G67</f>
        <v>21326.799999999999</v>
      </c>
      <c r="H74" s="11"/>
      <c r="I74" s="11">
        <f t="shared" ref="I74" si="39">I63+I64+I65+I66+I68+I69+I72+I70+I71+I67</f>
        <v>21326.799999999999</v>
      </c>
      <c r="J74" s="11"/>
      <c r="K74" s="11">
        <f t="shared" si="38"/>
        <v>25591.759999999995</v>
      </c>
      <c r="L74" s="11"/>
      <c r="M74" s="11">
        <f t="shared" si="38"/>
        <v>25591.759999999995</v>
      </c>
    </row>
    <row r="75" spans="1:13" s="15" customFormat="1" x14ac:dyDescent="0.25">
      <c r="A75" s="13"/>
      <c r="B75" s="13"/>
      <c r="C75" s="37" t="s">
        <v>15</v>
      </c>
      <c r="D75" s="36"/>
      <c r="E75" s="36">
        <f>ROUND(E74*12,0)</f>
        <v>230326</v>
      </c>
      <c r="F75" s="13"/>
      <c r="G75" s="11">
        <f>ROUND(G74*12,0)</f>
        <v>255922</v>
      </c>
      <c r="H75" s="11"/>
      <c r="I75" s="11">
        <f>ROUND(I74*12,0)</f>
        <v>255922</v>
      </c>
      <c r="J75" s="13"/>
      <c r="K75" s="11">
        <f>ROUND(K74*12,0)</f>
        <v>307101</v>
      </c>
      <c r="L75" s="13"/>
      <c r="M75" s="11">
        <f>ROUND(M74*12,0)</f>
        <v>307101</v>
      </c>
    </row>
    <row r="76" spans="1:13" s="15" customFormat="1" ht="45.75" customHeight="1" x14ac:dyDescent="0.25">
      <c r="A76" s="14">
        <v>6</v>
      </c>
      <c r="B76" s="35" t="s">
        <v>34</v>
      </c>
      <c r="C76" s="35" t="s">
        <v>35</v>
      </c>
      <c r="D76" s="11">
        <v>0.25</v>
      </c>
      <c r="E76" s="11">
        <f>ROUND(4047*D76*1.0075,0)</f>
        <v>1019</v>
      </c>
      <c r="F76" s="11">
        <v>0.25</v>
      </c>
      <c r="G76" s="11">
        <f>ROUND(4047*F76*1.0075,0)</f>
        <v>1019</v>
      </c>
      <c r="H76" s="11">
        <v>0.25</v>
      </c>
      <c r="I76" s="11">
        <f>ROUND(4047*H76*1.0075,0)</f>
        <v>1019</v>
      </c>
      <c r="J76" s="11">
        <v>0.25</v>
      </c>
      <c r="K76" s="11">
        <f>ROUND(4047*J76*1.0075,0)</f>
        <v>1019</v>
      </c>
      <c r="L76" s="11">
        <v>0.25</v>
      </c>
      <c r="M76" s="11">
        <f>ROUND(4047*L76*1.0075,0)</f>
        <v>1019</v>
      </c>
    </row>
    <row r="77" spans="1:13" s="15" customFormat="1" ht="45" x14ac:dyDescent="0.25">
      <c r="A77" s="13"/>
      <c r="B77" s="13"/>
      <c r="C77" s="35" t="s">
        <v>10</v>
      </c>
      <c r="D77" s="36"/>
      <c r="E77" s="36">
        <f t="shared" ref="E77" si="40">ROUND((E76)*0.05,2)</f>
        <v>50.95</v>
      </c>
      <c r="F77" s="11"/>
      <c r="G77" s="11">
        <f t="shared" ref="G77:M77" si="41">ROUND((G76)*0.05,2)</f>
        <v>50.95</v>
      </c>
      <c r="H77" s="11"/>
      <c r="I77" s="11">
        <f t="shared" ref="I77" si="42">ROUND((I76)*0.05,2)</f>
        <v>50.95</v>
      </c>
      <c r="J77" s="11"/>
      <c r="K77" s="11">
        <f t="shared" si="41"/>
        <v>50.95</v>
      </c>
      <c r="L77" s="11"/>
      <c r="M77" s="11">
        <f t="shared" si="41"/>
        <v>50.95</v>
      </c>
    </row>
    <row r="78" spans="1:13" s="15" customFormat="1" ht="30.75" customHeight="1" x14ac:dyDescent="0.25">
      <c r="A78" s="13"/>
      <c r="B78" s="13"/>
      <c r="C78" s="35" t="s">
        <v>36</v>
      </c>
      <c r="D78" s="36"/>
      <c r="E78" s="36">
        <f t="shared" ref="E78" si="43">ROUND(E76*0.2,2)</f>
        <v>203.8</v>
      </c>
      <c r="F78" s="11"/>
      <c r="G78" s="11">
        <f t="shared" ref="G78:M78" si="44">ROUND(G76*0.2,2)</f>
        <v>203.8</v>
      </c>
      <c r="H78" s="11"/>
      <c r="I78" s="11">
        <f t="shared" ref="I78" si="45">ROUND(I76*0.2,2)</f>
        <v>203.8</v>
      </c>
      <c r="J78" s="11"/>
      <c r="K78" s="11">
        <f t="shared" si="44"/>
        <v>203.8</v>
      </c>
      <c r="L78" s="11"/>
      <c r="M78" s="11">
        <f t="shared" si="44"/>
        <v>203.8</v>
      </c>
    </row>
    <row r="79" spans="1:13" s="15" customFormat="1" x14ac:dyDescent="0.25">
      <c r="A79" s="13"/>
      <c r="B79" s="13"/>
      <c r="C79" s="13" t="s">
        <v>11</v>
      </c>
      <c r="D79" s="11"/>
      <c r="E79" s="11">
        <f t="shared" ref="E79" si="46">ROUND((E76+E77+E78)*0.05,0)</f>
        <v>64</v>
      </c>
      <c r="F79" s="11"/>
      <c r="G79" s="11">
        <f t="shared" ref="G79:M79" si="47">ROUND((G76+G77+G78)*0.05,0)</f>
        <v>64</v>
      </c>
      <c r="H79" s="11"/>
      <c r="I79" s="11">
        <f t="shared" ref="I79" si="48">ROUND((I76+I77+I78)*0.05,0)</f>
        <v>64</v>
      </c>
      <c r="J79" s="11"/>
      <c r="K79" s="11">
        <f t="shared" si="47"/>
        <v>64</v>
      </c>
      <c r="L79" s="11"/>
      <c r="M79" s="11">
        <f t="shared" si="47"/>
        <v>64</v>
      </c>
    </row>
    <row r="80" spans="1:13" s="15" customFormat="1" x14ac:dyDescent="0.25">
      <c r="A80" s="13"/>
      <c r="B80" s="13"/>
      <c r="C80" s="13" t="s">
        <v>12</v>
      </c>
      <c r="D80" s="11"/>
      <c r="E80" s="11">
        <f t="shared" ref="E80" si="49">ROUND((E76+E77+E78)*0.01,2)</f>
        <v>12.74</v>
      </c>
      <c r="F80" s="11"/>
      <c r="G80" s="11">
        <f t="shared" ref="G80:M80" si="50">ROUND((G76+G77+G78)*0.01,2)</f>
        <v>12.74</v>
      </c>
      <c r="H80" s="11"/>
      <c r="I80" s="11">
        <f t="shared" ref="I80" si="51">ROUND((I76+I77+I78)*0.01,2)</f>
        <v>12.74</v>
      </c>
      <c r="J80" s="11"/>
      <c r="K80" s="11">
        <f t="shared" si="50"/>
        <v>12.74</v>
      </c>
      <c r="L80" s="11"/>
      <c r="M80" s="11">
        <f t="shared" si="50"/>
        <v>12.74</v>
      </c>
    </row>
    <row r="81" spans="1:15" s="15" customFormat="1" x14ac:dyDescent="0.25">
      <c r="A81" s="13"/>
      <c r="B81" s="13"/>
      <c r="C81" s="13" t="s">
        <v>30</v>
      </c>
      <c r="D81" s="11"/>
      <c r="E81" s="11">
        <f>ROUND((12130-(E76+E77+E79+E78)/D76)*D76,2)</f>
        <v>1694.75</v>
      </c>
      <c r="F81" s="11"/>
      <c r="G81" s="11">
        <f>ROUND((12130-(G76+G77+G79+G78)/F76)*F76,2)</f>
        <v>1694.75</v>
      </c>
      <c r="H81" s="11"/>
      <c r="I81" s="11">
        <f>ROUND((12130-(I76+I77+I79+I78)/H76)*H76,2)</f>
        <v>1694.75</v>
      </c>
      <c r="J81" s="11"/>
      <c r="K81" s="11">
        <f>ROUND((12130-(K76+K77+K79+K78)/J76)*J76,2)</f>
        <v>1694.75</v>
      </c>
      <c r="L81" s="11"/>
      <c r="M81" s="11">
        <f>ROUND((12130-(M76+M77+M79+M78)/L76)*L76,2)</f>
        <v>1694.75</v>
      </c>
    </row>
    <row r="82" spans="1:15" s="15" customFormat="1" x14ac:dyDescent="0.25">
      <c r="A82" s="13"/>
      <c r="B82" s="13"/>
      <c r="C82" s="13" t="s">
        <v>31</v>
      </c>
      <c r="D82" s="11"/>
      <c r="E82" s="11">
        <f>ROUND(12130/29.3*28*D76/365*28,2)</f>
        <v>222.31</v>
      </c>
      <c r="F82" s="11"/>
      <c r="G82" s="11">
        <f>ROUND(12130/29.3*28*F76/365*28,2)</f>
        <v>222.31</v>
      </c>
      <c r="H82" s="11"/>
      <c r="I82" s="11">
        <f>ROUND(12130/29.3*28*H76/365*28,2)</f>
        <v>222.31</v>
      </c>
      <c r="J82" s="11"/>
      <c r="K82" s="11">
        <f>ROUND(12130/29.3*28*J76/365*28,2)</f>
        <v>222.31</v>
      </c>
      <c r="L82" s="11"/>
      <c r="M82" s="11">
        <f>ROUND(12130/29.3*28*L76/365*28,2)</f>
        <v>222.31</v>
      </c>
    </row>
    <row r="83" spans="1:15" s="15" customFormat="1" ht="30" x14ac:dyDescent="0.25">
      <c r="A83" s="13"/>
      <c r="B83" s="13"/>
      <c r="C83" s="35" t="s">
        <v>13</v>
      </c>
      <c r="D83" s="36"/>
      <c r="E83" s="36">
        <f t="shared" ref="E83" si="52">ROUND((E76+E77+E79+E80+E81+E82+E78)*0.302,0)</f>
        <v>987</v>
      </c>
      <c r="F83" s="11"/>
      <c r="G83" s="11">
        <f t="shared" ref="G83:M83" si="53">ROUND((G76+G77+G79+G80+G81+G82+G78)*0.302,0)</f>
        <v>987</v>
      </c>
      <c r="H83" s="11"/>
      <c r="I83" s="11">
        <f t="shared" ref="I83" si="54">ROUND((I76+I77+I79+I80+I81+I82+I78)*0.302,0)</f>
        <v>987</v>
      </c>
      <c r="J83" s="11"/>
      <c r="K83" s="11">
        <f t="shared" si="53"/>
        <v>987</v>
      </c>
      <c r="L83" s="11"/>
      <c r="M83" s="11">
        <f t="shared" si="53"/>
        <v>987</v>
      </c>
    </row>
    <row r="84" spans="1:15" s="15" customFormat="1" ht="30" x14ac:dyDescent="0.25">
      <c r="A84" s="13"/>
      <c r="B84" s="13"/>
      <c r="C84" s="35" t="s">
        <v>37</v>
      </c>
      <c r="D84" s="36"/>
      <c r="E84" s="36"/>
      <c r="F84" s="11"/>
      <c r="G84" s="11"/>
      <c r="H84" s="11"/>
      <c r="I84" s="11"/>
      <c r="J84" s="11"/>
      <c r="K84" s="11"/>
      <c r="L84" s="11"/>
      <c r="M84" s="11"/>
    </row>
    <row r="85" spans="1:15" s="15" customFormat="1" x14ac:dyDescent="0.25">
      <c r="A85" s="13"/>
      <c r="B85" s="13"/>
      <c r="C85" s="37" t="s">
        <v>14</v>
      </c>
      <c r="D85" s="36"/>
      <c r="E85" s="36">
        <f t="shared" ref="E85" si="55">E76+E77+E79+E80+E83+E81+E82+E78</f>
        <v>4254.55</v>
      </c>
      <c r="F85" s="11"/>
      <c r="G85" s="11">
        <f t="shared" ref="G85:M85" si="56">G76+G77+G79+G80+G83+G81+G82+G78</f>
        <v>4254.55</v>
      </c>
      <c r="H85" s="11"/>
      <c r="I85" s="11">
        <f t="shared" ref="I85" si="57">I76+I77+I79+I80+I83+I81+I82+I78</f>
        <v>4254.55</v>
      </c>
      <c r="J85" s="11"/>
      <c r="K85" s="11">
        <f t="shared" si="56"/>
        <v>4254.55</v>
      </c>
      <c r="L85" s="11"/>
      <c r="M85" s="11">
        <f t="shared" si="56"/>
        <v>4254.55</v>
      </c>
    </row>
    <row r="86" spans="1:15" s="15" customFormat="1" x14ac:dyDescent="0.25">
      <c r="A86" s="13"/>
      <c r="B86" s="13"/>
      <c r="C86" s="37" t="s">
        <v>15</v>
      </c>
      <c r="D86" s="36"/>
      <c r="E86" s="36">
        <f t="shared" ref="E86" si="58">ROUND(E85*12,0)</f>
        <v>51055</v>
      </c>
      <c r="F86" s="11"/>
      <c r="G86" s="11">
        <f t="shared" ref="G86:M86" si="59">ROUND(G85*12,0)</f>
        <v>51055</v>
      </c>
      <c r="H86" s="11"/>
      <c r="I86" s="11">
        <f t="shared" ref="I86" si="60">ROUND(I85*12,0)</f>
        <v>51055</v>
      </c>
      <c r="J86" s="11"/>
      <c r="K86" s="11">
        <f t="shared" si="59"/>
        <v>51055</v>
      </c>
      <c r="L86" s="11"/>
      <c r="M86" s="11">
        <f t="shared" si="59"/>
        <v>51055</v>
      </c>
    </row>
    <row r="87" spans="1:15" s="15" customFormat="1" ht="19.5" customHeight="1" x14ac:dyDescent="0.25">
      <c r="A87" s="13"/>
      <c r="B87" s="71" t="s">
        <v>27</v>
      </c>
      <c r="C87" s="72"/>
      <c r="D87" s="39"/>
      <c r="E87" s="39"/>
      <c r="F87" s="13"/>
      <c r="G87" s="13"/>
      <c r="H87" s="13"/>
      <c r="I87" s="13"/>
      <c r="J87" s="13"/>
      <c r="K87" s="13"/>
      <c r="L87" s="13"/>
      <c r="M87" s="13"/>
    </row>
    <row r="88" spans="1:15" s="15" customFormat="1" ht="48.75" customHeight="1" x14ac:dyDescent="0.25">
      <c r="A88" s="13"/>
      <c r="B88" s="35"/>
      <c r="C88" s="35" t="s">
        <v>56</v>
      </c>
      <c r="D88" s="36"/>
      <c r="E88" s="36">
        <f>ROUND((E20+E34+E48+E62+E75+E86)*0.192,2)</f>
        <v>177279.52</v>
      </c>
      <c r="F88" s="11"/>
      <c r="G88" s="36">
        <f>ROUND((G20+G34+G48+G62+G75+G86)*0.192,2)</f>
        <v>189691.79</v>
      </c>
      <c r="H88" s="11"/>
      <c r="I88" s="36">
        <f>ROUND((I20+I34+I48+I62+I75+I86)*0.192,2)</f>
        <v>202142.77</v>
      </c>
      <c r="J88" s="11"/>
      <c r="K88" s="36">
        <f>ROUND((K20+K34+K48+K62+K75+K86)*0.192,2)</f>
        <v>244867.79</v>
      </c>
      <c r="L88" s="11"/>
      <c r="M88" s="36">
        <f>ROUND((M20+M34+M48+M62+M75+M86)*0.192,2)</f>
        <v>261505.74</v>
      </c>
    </row>
    <row r="89" spans="1:15" s="15" customFormat="1" ht="64.5" customHeight="1" x14ac:dyDescent="0.25">
      <c r="A89" s="13"/>
      <c r="B89" s="69" t="s">
        <v>29</v>
      </c>
      <c r="C89" s="70"/>
      <c r="D89" s="40"/>
      <c r="E89" s="40"/>
      <c r="F89" s="11"/>
      <c r="G89" s="11"/>
      <c r="H89" s="11"/>
      <c r="I89" s="11"/>
      <c r="J89" s="11"/>
      <c r="K89" s="11"/>
      <c r="L89" s="11"/>
      <c r="M89" s="11"/>
    </row>
    <row r="90" spans="1:15" s="15" customFormat="1" ht="45.75" customHeight="1" x14ac:dyDescent="0.25">
      <c r="A90" s="13"/>
      <c r="B90" s="35"/>
      <c r="C90" s="35" t="s">
        <v>58</v>
      </c>
      <c r="D90" s="36"/>
      <c r="E90" s="36">
        <f>ROUND((E20+E34+E48+E62+E75+E86)*0.028,2)</f>
        <v>25853.26</v>
      </c>
      <c r="F90" s="11"/>
      <c r="G90" s="36">
        <f>ROUND((G20+G34+G48+G62+G75+G86)*0.028,2)</f>
        <v>27663.39</v>
      </c>
      <c r="H90" s="11"/>
      <c r="I90" s="36">
        <f>ROUND((I20+I34+I48+I62+I75+I86)*0.028,2)</f>
        <v>29479.15</v>
      </c>
      <c r="J90" s="11"/>
      <c r="K90" s="36">
        <f>ROUND((K20+K34+K48+K62+K75+K86)*0.028,2)</f>
        <v>35709.89</v>
      </c>
      <c r="L90" s="11"/>
      <c r="M90" s="36">
        <f>ROUND((M20+M34+M48+M62+M75+M86)*0.028,2)</f>
        <v>38136.25</v>
      </c>
    </row>
    <row r="91" spans="1:15" s="15" customFormat="1" ht="73.5" customHeight="1" x14ac:dyDescent="0.25">
      <c r="A91" s="13"/>
      <c r="B91" s="69" t="s">
        <v>59</v>
      </c>
      <c r="C91" s="70"/>
      <c r="D91" s="41"/>
      <c r="E91" s="41"/>
      <c r="F91" s="13"/>
      <c r="G91" s="13"/>
      <c r="H91" s="13"/>
      <c r="I91" s="13"/>
      <c r="J91" s="13"/>
      <c r="K91" s="13"/>
      <c r="L91" s="13"/>
      <c r="M91" s="13"/>
    </row>
    <row r="92" spans="1:15" s="15" customFormat="1" ht="50.25" customHeight="1" x14ac:dyDescent="0.25">
      <c r="A92" s="13"/>
      <c r="B92" s="35"/>
      <c r="C92" s="35" t="s">
        <v>57</v>
      </c>
      <c r="D92" s="36"/>
      <c r="E92" s="36">
        <f>ROUND((E20+E34+E48+E62+E75+E86)*0.038,2)</f>
        <v>35086.57</v>
      </c>
      <c r="F92" s="11"/>
      <c r="G92" s="36">
        <f>ROUND((G20+G34+G48+G62+G75+G86)*0.038,2)</f>
        <v>37543.17</v>
      </c>
      <c r="H92" s="11"/>
      <c r="I92" s="36">
        <f>ROUND((I20+I34+I48+I62+I75+I86)*0.038,2)</f>
        <v>40007.42</v>
      </c>
      <c r="J92" s="11"/>
      <c r="K92" s="36">
        <f>ROUND((K20+K34+K48+K62+K75+K86)*0.038,2)</f>
        <v>48463.42</v>
      </c>
      <c r="L92" s="11"/>
      <c r="M92" s="36">
        <f>ROUND((M20+M34+M48+M62+M75+M86)*0.038,2)</f>
        <v>51756.34</v>
      </c>
    </row>
    <row r="93" spans="1:15" s="15" customFormat="1" ht="68.25" customHeight="1" x14ac:dyDescent="0.25">
      <c r="A93" s="13"/>
      <c r="B93" s="69" t="s">
        <v>28</v>
      </c>
      <c r="C93" s="70"/>
      <c r="D93" s="11"/>
      <c r="E93" s="11">
        <f>E20+E34+E48+E62+E75+E86+E88+E90+E92</f>
        <v>1161550.1900000002</v>
      </c>
      <c r="F93" s="42"/>
      <c r="G93" s="11">
        <f>G20+G34+G48+G62+G75+G86+G88+G90+G92</f>
        <v>1242876.43</v>
      </c>
      <c r="H93" s="42"/>
      <c r="I93" s="11">
        <f>I20+I34+I48+I62+I75+I86+I88+I90+I92</f>
        <v>1324456.2599999998</v>
      </c>
      <c r="J93" s="42"/>
      <c r="K93" s="11">
        <f>K20+K34+K48+K62+K75+K86+K88+K90+K92</f>
        <v>1604394.18</v>
      </c>
      <c r="L93" s="42"/>
      <c r="M93" s="11">
        <f>M20+M34+M48+M62+M75+M86+M88+M90+M92</f>
        <v>1713407.37</v>
      </c>
    </row>
    <row r="94" spans="1:15" s="15" customFormat="1" ht="47.25" customHeight="1" x14ac:dyDescent="0.25">
      <c r="A94" s="13"/>
      <c r="B94" s="69" t="s">
        <v>39</v>
      </c>
      <c r="C94" s="70"/>
      <c r="D94" s="12">
        <v>25</v>
      </c>
      <c r="E94" s="12">
        <f>ROUND(E93/D94,0)</f>
        <v>46462</v>
      </c>
      <c r="F94" s="21">
        <v>25</v>
      </c>
      <c r="G94" s="12">
        <f>ROUND(G93/F94,0)</f>
        <v>49715</v>
      </c>
      <c r="H94" s="12">
        <v>25</v>
      </c>
      <c r="I94" s="12">
        <f>ROUND(I93/H94,0)</f>
        <v>52978</v>
      </c>
      <c r="J94" s="21">
        <v>25</v>
      </c>
      <c r="K94" s="12">
        <f>ROUND(K93/J94,0)</f>
        <v>64176</v>
      </c>
      <c r="L94" s="21">
        <v>25</v>
      </c>
      <c r="M94" s="12">
        <f>ROUND(M93/L94,0)</f>
        <v>68536</v>
      </c>
      <c r="N94" s="22"/>
      <c r="O94" s="43"/>
    </row>
    <row r="95" spans="1:15" s="15" customFormat="1" ht="51.75" customHeight="1" x14ac:dyDescent="0.25">
      <c r="A95" s="13"/>
      <c r="B95" s="69" t="s">
        <v>60</v>
      </c>
      <c r="C95" s="70"/>
      <c r="D95" s="12"/>
      <c r="E95" s="12">
        <f>E94</f>
        <v>46462</v>
      </c>
      <c r="F95" s="13"/>
      <c r="G95" s="12">
        <f>E95</f>
        <v>46462</v>
      </c>
      <c r="H95" s="12"/>
      <c r="I95" s="12">
        <f>G95</f>
        <v>46462</v>
      </c>
      <c r="J95" s="13"/>
      <c r="K95" s="12">
        <f>I95</f>
        <v>46462</v>
      </c>
      <c r="L95" s="13"/>
      <c r="M95" s="12">
        <f>K95</f>
        <v>46462</v>
      </c>
    </row>
    <row r="96" spans="1:15" s="15" customFormat="1" ht="105.75" customHeight="1" x14ac:dyDescent="0.25">
      <c r="A96" s="13"/>
      <c r="B96" s="57" t="s">
        <v>61</v>
      </c>
      <c r="C96" s="58"/>
      <c r="D96" s="17"/>
      <c r="E96" s="17">
        <f t="shared" ref="E96" si="61">ROUND(E94/E95,3)</f>
        <v>1</v>
      </c>
      <c r="F96" s="17"/>
      <c r="G96" s="17">
        <f t="shared" ref="G96:M96" si="62">ROUND(G94/G95,3)</f>
        <v>1.07</v>
      </c>
      <c r="H96" s="17"/>
      <c r="I96" s="17">
        <f t="shared" ref="I96" si="63">ROUND(I94/I95,3)</f>
        <v>1.1399999999999999</v>
      </c>
      <c r="J96" s="17"/>
      <c r="K96" s="17">
        <f t="shared" si="62"/>
        <v>1.381</v>
      </c>
      <c r="L96" s="17"/>
      <c r="M96" s="17">
        <f t="shared" si="62"/>
        <v>1.4750000000000001</v>
      </c>
    </row>
    <row r="97" spans="1:13" s="15" customFormat="1" ht="110.25" customHeight="1" x14ac:dyDescent="0.25">
      <c r="A97" s="13"/>
      <c r="B97" s="45" t="s">
        <v>62</v>
      </c>
      <c r="C97" s="45"/>
      <c r="D97" s="13"/>
      <c r="E97" s="12">
        <v>2394</v>
      </c>
      <c r="F97" s="32"/>
      <c r="G97" s="12">
        <v>2394</v>
      </c>
      <c r="H97" s="32"/>
      <c r="I97" s="12">
        <v>2394</v>
      </c>
      <c r="J97" s="32"/>
      <c r="K97" s="12">
        <v>2394</v>
      </c>
      <c r="L97" s="32"/>
      <c r="M97" s="12">
        <v>2394</v>
      </c>
    </row>
    <row r="98" spans="1:13" s="15" customFormat="1" ht="48" customHeight="1" x14ac:dyDescent="0.25">
      <c r="A98" s="13"/>
      <c r="B98" s="45" t="s">
        <v>40</v>
      </c>
      <c r="C98" s="45"/>
      <c r="D98" s="13"/>
      <c r="E98" s="12">
        <f>E94+E97</f>
        <v>48856</v>
      </c>
      <c r="F98" s="32"/>
      <c r="G98" s="12">
        <f>G95+G97</f>
        <v>48856</v>
      </c>
      <c r="H98" s="32"/>
      <c r="I98" s="12">
        <f>I95+I97</f>
        <v>48856</v>
      </c>
      <c r="J98" s="32"/>
      <c r="K98" s="12">
        <f>K95+K97</f>
        <v>48856</v>
      </c>
      <c r="L98" s="32"/>
      <c r="M98" s="12">
        <f>M95+M97</f>
        <v>48856</v>
      </c>
    </row>
    <row r="99" spans="1:13" s="15" customFormat="1" ht="93.75" customHeight="1" x14ac:dyDescent="0.25">
      <c r="A99" s="13"/>
      <c r="B99" s="69" t="s">
        <v>71</v>
      </c>
      <c r="C99" s="70"/>
      <c r="D99" s="13"/>
      <c r="E99" s="12">
        <v>2394</v>
      </c>
      <c r="F99" s="32"/>
      <c r="G99" s="12">
        <v>2394</v>
      </c>
      <c r="H99" s="32"/>
      <c r="I99" s="12">
        <v>2394</v>
      </c>
      <c r="J99" s="32"/>
      <c r="K99" s="12">
        <v>2993</v>
      </c>
      <c r="L99" s="32"/>
      <c r="M99" s="12">
        <v>2993</v>
      </c>
    </row>
    <row r="100" spans="1:13" s="15" customFormat="1" ht="47.25" customHeight="1" x14ac:dyDescent="0.25">
      <c r="A100" s="13"/>
      <c r="B100" s="45" t="s">
        <v>63</v>
      </c>
      <c r="C100" s="45"/>
      <c r="D100" s="13"/>
      <c r="E100" s="12">
        <f>E94+E99</f>
        <v>48856</v>
      </c>
      <c r="F100" s="32"/>
      <c r="G100" s="12">
        <f>G94+G99</f>
        <v>52109</v>
      </c>
      <c r="H100" s="32"/>
      <c r="I100" s="12">
        <f>I94+I99</f>
        <v>55372</v>
      </c>
      <c r="J100" s="32"/>
      <c r="K100" s="12">
        <f>K94+K99</f>
        <v>67169</v>
      </c>
      <c r="L100" s="32"/>
      <c r="M100" s="12">
        <f>M94+M99</f>
        <v>71529</v>
      </c>
    </row>
    <row r="101" spans="1:13" s="15" customFormat="1" ht="28.5" customHeight="1" x14ac:dyDescent="0.25">
      <c r="A101" s="13"/>
      <c r="B101" s="45" t="s">
        <v>73</v>
      </c>
      <c r="C101" s="45"/>
      <c r="D101" s="13"/>
      <c r="E101" s="12">
        <v>8673</v>
      </c>
      <c r="F101" s="13"/>
      <c r="G101" s="12">
        <v>8673</v>
      </c>
      <c r="H101" s="13"/>
      <c r="I101" s="12">
        <v>8673</v>
      </c>
      <c r="J101" s="13"/>
      <c r="K101" s="12">
        <v>8673</v>
      </c>
      <c r="L101" s="13"/>
      <c r="M101" s="12">
        <v>8673</v>
      </c>
    </row>
    <row r="102" spans="1:13" s="15" customFormat="1" ht="34.5" customHeight="1" x14ac:dyDescent="0.25">
      <c r="A102" s="44"/>
      <c r="B102" s="45" t="s">
        <v>74</v>
      </c>
      <c r="C102" s="45"/>
      <c r="D102" s="13"/>
      <c r="E102" s="12">
        <f>E98+E101</f>
        <v>57529</v>
      </c>
      <c r="F102" s="13"/>
      <c r="G102" s="12">
        <f>G98+G101</f>
        <v>57529</v>
      </c>
      <c r="H102" s="13"/>
      <c r="I102" s="12">
        <f>I98+I101</f>
        <v>57529</v>
      </c>
      <c r="J102" s="13"/>
      <c r="K102" s="12">
        <f>K98+K101</f>
        <v>57529</v>
      </c>
      <c r="L102" s="13"/>
      <c r="M102" s="12">
        <f>M98+M101</f>
        <v>57529</v>
      </c>
    </row>
    <row r="103" spans="1:13" s="15" customFormat="1" ht="37.5" customHeight="1" x14ac:dyDescent="0.25">
      <c r="B103" s="45" t="s">
        <v>75</v>
      </c>
      <c r="C103" s="45"/>
      <c r="D103" s="13"/>
      <c r="E103" s="12">
        <f>E100+E101</f>
        <v>57529</v>
      </c>
      <c r="F103" s="13"/>
      <c r="G103" s="12">
        <f>G100+G101</f>
        <v>60782</v>
      </c>
      <c r="H103" s="13"/>
      <c r="I103" s="12">
        <f>I100+I101</f>
        <v>64045</v>
      </c>
      <c r="J103" s="13"/>
      <c r="K103" s="12">
        <f>K100+K101</f>
        <v>75842</v>
      </c>
      <c r="L103" s="13"/>
      <c r="M103" s="12">
        <f>M100+M101</f>
        <v>80202</v>
      </c>
    </row>
    <row r="104" spans="1:13" s="15" customFormat="1" x14ac:dyDescent="0.25"/>
    <row r="105" spans="1:13" s="15" customFormat="1" x14ac:dyDescent="0.25"/>
    <row r="106" spans="1:13" s="15" customFormat="1" x14ac:dyDescent="0.25"/>
    <row r="107" spans="1:13" s="15" customFormat="1" x14ac:dyDescent="0.25"/>
    <row r="108" spans="1:13" s="15" customFormat="1" x14ac:dyDescent="0.25"/>
    <row r="109" spans="1:13" s="15" customFormat="1" x14ac:dyDescent="0.25"/>
    <row r="110" spans="1:13" s="15" customFormat="1" x14ac:dyDescent="0.25"/>
    <row r="111" spans="1:13" s="15" customFormat="1" x14ac:dyDescent="0.25"/>
    <row r="112" spans="1:13" s="15" customFormat="1" x14ac:dyDescent="0.25"/>
    <row r="113" s="15" customFormat="1" x14ac:dyDescent="0.25"/>
  </sheetData>
  <mergeCells count="27">
    <mergeCell ref="D3:E3"/>
    <mergeCell ref="B99:C99"/>
    <mergeCell ref="B97:C97"/>
    <mergeCell ref="B98:C98"/>
    <mergeCell ref="C2:C5"/>
    <mergeCell ref="B2:B5"/>
    <mergeCell ref="B89:C89"/>
    <mergeCell ref="B91:C91"/>
    <mergeCell ref="B93:C93"/>
    <mergeCell ref="L4:M4"/>
    <mergeCell ref="D4:E4"/>
    <mergeCell ref="B101:C101"/>
    <mergeCell ref="B102:C102"/>
    <mergeCell ref="B103:C103"/>
    <mergeCell ref="A1:M1"/>
    <mergeCell ref="D2:M2"/>
    <mergeCell ref="A2:A5"/>
    <mergeCell ref="F3:I3"/>
    <mergeCell ref="J3:M3"/>
    <mergeCell ref="F4:G4"/>
    <mergeCell ref="H4:I4"/>
    <mergeCell ref="J4:K4"/>
    <mergeCell ref="B100:C100"/>
    <mergeCell ref="B95:C95"/>
    <mergeCell ref="B96:C96"/>
    <mergeCell ref="B94:C94"/>
    <mergeCell ref="B87:C87"/>
  </mergeCells>
  <printOptions horizontalCentered="1"/>
  <pageMargins left="0" right="0" top="0.55118110236220474" bottom="0.35433070866141736" header="0" footer="0"/>
  <pageSetup paperSize="9" scale="48" orientation="landscape" r:id="rId1"/>
  <rowBreaks count="2" manualBreakCount="2">
    <brk id="26" max="12" man="1"/>
    <brk id="7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zoomScale="69" zoomScaleNormal="81" zoomScaleSheetLayoutView="69" workbookViewId="0">
      <pane xSplit="3" ySplit="5" topLeftCell="D112" activePane="bottomRight" state="frozen"/>
      <selection pane="topRight" activeCell="D1" sqref="D1"/>
      <selection pane="bottomLeft" activeCell="A5" sqref="A5"/>
      <selection pane="bottomRight" activeCell="D4" sqref="D4:E4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6.140625" style="15" customWidth="1"/>
    <col min="5" max="5" width="26" style="15" customWidth="1"/>
    <col min="6" max="6" width="14.140625" style="1" customWidth="1"/>
    <col min="7" max="7" width="25.42578125" style="1" customWidth="1"/>
    <col min="8" max="16384" width="9.140625" style="1"/>
  </cols>
  <sheetData>
    <row r="1" spans="1:7" s="15" customFormat="1" ht="32.25" customHeight="1" x14ac:dyDescent="0.25">
      <c r="A1" s="62" t="s">
        <v>78</v>
      </c>
      <c r="B1" s="62"/>
      <c r="C1" s="62"/>
      <c r="D1" s="62"/>
      <c r="E1" s="62"/>
      <c r="F1" s="62"/>
      <c r="G1" s="62"/>
    </row>
    <row r="2" spans="1:7" ht="46.5" customHeight="1" x14ac:dyDescent="0.25">
      <c r="A2" s="52" t="s">
        <v>2</v>
      </c>
      <c r="B2" s="52" t="s">
        <v>0</v>
      </c>
      <c r="C2" s="52" t="s">
        <v>1</v>
      </c>
      <c r="D2" s="27"/>
      <c r="E2" s="27"/>
      <c r="F2" s="27"/>
      <c r="G2" s="28"/>
    </row>
    <row r="3" spans="1:7" s="2" customFormat="1" ht="69.75" customHeight="1" x14ac:dyDescent="0.25">
      <c r="A3" s="53"/>
      <c r="B3" s="53"/>
      <c r="C3" s="53"/>
      <c r="D3" s="68" t="s">
        <v>64</v>
      </c>
      <c r="E3" s="63"/>
      <c r="F3" s="63"/>
      <c r="G3" s="64"/>
    </row>
    <row r="4" spans="1:7" s="2" customFormat="1" ht="35.25" customHeight="1" x14ac:dyDescent="0.25">
      <c r="A4" s="53"/>
      <c r="B4" s="53"/>
      <c r="C4" s="53"/>
      <c r="D4" s="46" t="s">
        <v>65</v>
      </c>
      <c r="E4" s="47"/>
      <c r="F4" s="46" t="s">
        <v>66</v>
      </c>
      <c r="G4" s="47"/>
    </row>
    <row r="5" spans="1:7" ht="48.75" customHeight="1" x14ac:dyDescent="0.25">
      <c r="A5" s="54"/>
      <c r="B5" s="54"/>
      <c r="C5" s="54"/>
      <c r="D5" s="10" t="s">
        <v>5</v>
      </c>
      <c r="E5" s="31" t="s">
        <v>72</v>
      </c>
      <c r="F5" s="25" t="s">
        <v>5</v>
      </c>
      <c r="G5" s="31" t="s">
        <v>72</v>
      </c>
    </row>
    <row r="6" spans="1:7" ht="45" x14ac:dyDescent="0.25">
      <c r="A6" s="3">
        <v>1</v>
      </c>
      <c r="B6" s="4" t="s">
        <v>3</v>
      </c>
      <c r="C6" s="6" t="s">
        <v>35</v>
      </c>
      <c r="D6" s="11">
        <v>2.4</v>
      </c>
      <c r="E6" s="7">
        <f>ROUND(8570*D6*1.0075,2)</f>
        <v>20722.259999999998</v>
      </c>
      <c r="F6" s="11">
        <v>2.4</v>
      </c>
      <c r="G6" s="7">
        <f>ROUND(8570*F6*1.0075,2)</f>
        <v>20722.259999999998</v>
      </c>
    </row>
    <row r="7" spans="1:7" ht="57" customHeight="1" x14ac:dyDescent="0.25">
      <c r="A7" s="3"/>
      <c r="B7" s="4"/>
      <c r="C7" s="6" t="s">
        <v>42</v>
      </c>
      <c r="D7" s="11"/>
      <c r="E7" s="11">
        <f>ROUND(E6*0.3,2)</f>
        <v>6216.68</v>
      </c>
      <c r="F7" s="11"/>
      <c r="G7" s="7">
        <f>ROUND(G6*0.3,2)</f>
        <v>6216.68</v>
      </c>
    </row>
    <row r="8" spans="1:7" ht="55.5" customHeight="1" x14ac:dyDescent="0.25">
      <c r="A8" s="3"/>
      <c r="B8" s="4"/>
      <c r="C8" s="6" t="s">
        <v>41</v>
      </c>
      <c r="D8" s="11"/>
      <c r="E8" s="7">
        <f>ROUND((E6+E7)*0.2,2)</f>
        <v>5387.79</v>
      </c>
      <c r="F8" s="11"/>
      <c r="G8" s="7">
        <f>ROUND((G6+G7)*0.2,2)</f>
        <v>5387.79</v>
      </c>
    </row>
    <row r="9" spans="1:7" ht="50.25" customHeight="1" x14ac:dyDescent="0.25">
      <c r="A9" s="4"/>
      <c r="B9" s="4"/>
      <c r="C9" s="6" t="s">
        <v>43</v>
      </c>
      <c r="D9" s="12"/>
      <c r="E9" s="11">
        <f>ROUND((E6+E7)*0.3,2)</f>
        <v>8081.68</v>
      </c>
      <c r="F9" s="12"/>
      <c r="G9" s="7">
        <f>ROUND((G6+G7)*0.3,2)</f>
        <v>8081.68</v>
      </c>
    </row>
    <row r="10" spans="1:7" ht="50.25" customHeight="1" x14ac:dyDescent="0.25">
      <c r="A10" s="4"/>
      <c r="B10" s="4"/>
      <c r="C10" s="6" t="s">
        <v>54</v>
      </c>
      <c r="D10" s="12"/>
      <c r="E10" s="11"/>
      <c r="F10" s="12"/>
      <c r="G10" s="7">
        <f t="shared" ref="G10" si="0">ROUND(G6*0.25,2)</f>
        <v>5180.57</v>
      </c>
    </row>
    <row r="11" spans="1:7" ht="46.5" customHeight="1" x14ac:dyDescent="0.25">
      <c r="A11" s="4"/>
      <c r="B11" s="4"/>
      <c r="C11" s="6" t="s">
        <v>10</v>
      </c>
      <c r="D11" s="7"/>
      <c r="E11" s="7">
        <f>ROUND((E6+E7)*0.05,2)</f>
        <v>1346.95</v>
      </c>
      <c r="F11" s="7"/>
      <c r="G11" s="7">
        <f>ROUND((G6+G7)*0.05,2)</f>
        <v>1346.95</v>
      </c>
    </row>
    <row r="12" spans="1:7" ht="61.5" customHeight="1" x14ac:dyDescent="0.25">
      <c r="A12" s="4"/>
      <c r="B12" s="4"/>
      <c r="C12" s="6" t="s">
        <v>44</v>
      </c>
      <c r="D12" s="7"/>
      <c r="E12" s="7">
        <f>ROUND(E6*0.4,2)</f>
        <v>8288.9</v>
      </c>
      <c r="F12" s="7"/>
      <c r="G12" s="7">
        <f>ROUND(G6*0.4,2)</f>
        <v>8288.9</v>
      </c>
    </row>
    <row r="13" spans="1:7" ht="39.75" customHeight="1" x14ac:dyDescent="0.25">
      <c r="A13" s="4"/>
      <c r="B13" s="4"/>
      <c r="C13" s="6" t="s">
        <v>45</v>
      </c>
      <c r="D13" s="7"/>
      <c r="E13" s="7">
        <f>ROUND(E6*0.2,2)</f>
        <v>4144.45</v>
      </c>
      <c r="F13" s="7"/>
      <c r="G13" s="7">
        <f>ROUND(G6*0.2,2)</f>
        <v>4144.45</v>
      </c>
    </row>
    <row r="14" spans="1:7" ht="28.5" customHeight="1" x14ac:dyDescent="0.25">
      <c r="A14" s="4"/>
      <c r="B14" s="4"/>
      <c r="C14" s="4" t="s">
        <v>11</v>
      </c>
      <c r="D14" s="7"/>
      <c r="E14" s="7">
        <f>ROUND((E6+E7+E8+E9++E11+E12+E13+E10)*0.05,2)</f>
        <v>2709.44</v>
      </c>
      <c r="F14" s="7"/>
      <c r="G14" s="7">
        <f>ROUND((G6+G7+G8+G9++G11+G12+G13+G10)*0.05,2)</f>
        <v>2968.46</v>
      </c>
    </row>
    <row r="15" spans="1:7" ht="24.75" customHeight="1" x14ac:dyDescent="0.25">
      <c r="A15" s="4"/>
      <c r="B15" s="4"/>
      <c r="C15" s="4" t="s">
        <v>12</v>
      </c>
      <c r="D15" s="3"/>
      <c r="E15" s="3">
        <f>ROUND((E6+E7+E8+E9+E11+E12+E13+E10)*0.01,2)</f>
        <v>541.89</v>
      </c>
      <c r="F15" s="3"/>
      <c r="G15" s="3">
        <f>ROUND((G6+G7+G8+G9+G11+G12+G13+G10)*0.01,2)</f>
        <v>593.69000000000005</v>
      </c>
    </row>
    <row r="16" spans="1:7" ht="24.75" customHeight="1" x14ac:dyDescent="0.25">
      <c r="A16" s="4"/>
      <c r="B16" s="4"/>
      <c r="C16" s="4" t="s">
        <v>31</v>
      </c>
      <c r="D16" s="7"/>
      <c r="E16" s="7">
        <f>ROUND(27031.7/29.3*56/12*D6,2)</f>
        <v>10332.94</v>
      </c>
      <c r="F16" s="7"/>
      <c r="G16" s="7">
        <f>ROUND(27031.7/29.3*56/12*F6,2)</f>
        <v>10332.94</v>
      </c>
    </row>
    <row r="17" spans="1:7" ht="39" customHeight="1" x14ac:dyDescent="0.25">
      <c r="A17" s="4"/>
      <c r="B17" s="4"/>
      <c r="C17" s="6" t="s">
        <v>13</v>
      </c>
      <c r="D17" s="9"/>
      <c r="E17" s="9">
        <f>ROUND((E6+E7+E8+E9+E11+E12+E14+E15+E16+E13+E10)*0.302,2)</f>
        <v>20467.439999999999</v>
      </c>
      <c r="F17" s="9"/>
      <c r="G17" s="9">
        <f>ROUND((G6+G7+G8+G9+G11+G12+G14+G15+G16+G13+G10)*0.302,2)</f>
        <v>22125.84</v>
      </c>
    </row>
    <row r="18" spans="1:7" ht="36" customHeight="1" x14ac:dyDescent="0.25">
      <c r="A18" s="4"/>
      <c r="B18" s="4"/>
      <c r="C18" s="6" t="s">
        <v>16</v>
      </c>
      <c r="D18" s="7"/>
      <c r="E18" s="7"/>
      <c r="F18" s="7"/>
      <c r="G18" s="7"/>
    </row>
    <row r="19" spans="1:7" ht="23.25" customHeight="1" x14ac:dyDescent="0.25">
      <c r="A19" s="4"/>
      <c r="B19" s="4"/>
      <c r="C19" s="8" t="s">
        <v>14</v>
      </c>
      <c r="D19" s="7"/>
      <c r="E19" s="7">
        <f>E6+E7+E8+E9+E11+E12+E14+E15+E17+E16+E13+E10</f>
        <v>88240.42</v>
      </c>
      <c r="F19" s="7"/>
      <c r="G19" s="7">
        <f>G6+G7+G8+G9+G11+G12+G14+G15+G17+G16+G13+G10</f>
        <v>95390.209999999992</v>
      </c>
    </row>
    <row r="20" spans="1:7" ht="24.75" customHeight="1" x14ac:dyDescent="0.25">
      <c r="A20" s="4"/>
      <c r="B20" s="4"/>
      <c r="C20" s="8" t="s">
        <v>15</v>
      </c>
      <c r="D20" s="7"/>
      <c r="E20" s="7">
        <f t="shared" ref="E20:G20" si="1">ROUND(E19*12,2)</f>
        <v>1058885.04</v>
      </c>
      <c r="F20" s="7"/>
      <c r="G20" s="7">
        <f t="shared" si="1"/>
        <v>1144682.52</v>
      </c>
    </row>
    <row r="21" spans="1:7" ht="45" x14ac:dyDescent="0.25">
      <c r="A21" s="3">
        <v>2</v>
      </c>
      <c r="B21" s="6" t="s">
        <v>4</v>
      </c>
      <c r="C21" s="6" t="s">
        <v>35</v>
      </c>
      <c r="D21" s="14">
        <v>0.25</v>
      </c>
      <c r="E21" s="7">
        <f>ROUND(7793*1.0075*D21,2)</f>
        <v>1962.86</v>
      </c>
      <c r="F21" s="14">
        <v>0.25</v>
      </c>
      <c r="G21" s="7">
        <f>ROUND(7793*1.0075*F21,2)</f>
        <v>1962.86</v>
      </c>
    </row>
    <row r="22" spans="1:7" ht="45" x14ac:dyDescent="0.25">
      <c r="A22" s="4"/>
      <c r="B22" s="4"/>
      <c r="C22" s="6" t="s">
        <v>42</v>
      </c>
      <c r="D22" s="13"/>
      <c r="E22" s="11">
        <f>ROUND(E21*0.3,2)</f>
        <v>588.86</v>
      </c>
      <c r="F22" s="13"/>
      <c r="G22" s="7">
        <f>ROUND(G21*0.3,2)</f>
        <v>588.86</v>
      </c>
    </row>
    <row r="23" spans="1:7" ht="45.75" customHeight="1" x14ac:dyDescent="0.25">
      <c r="A23" s="4"/>
      <c r="B23" s="4"/>
      <c r="C23" s="6" t="s">
        <v>41</v>
      </c>
      <c r="D23" s="13"/>
      <c r="E23" s="7">
        <f>ROUND((E21+E22)*0.2,2)</f>
        <v>510.34</v>
      </c>
      <c r="F23" s="13"/>
      <c r="G23" s="7">
        <f>ROUND((G21+G22)*0.2,2)</f>
        <v>510.34</v>
      </c>
    </row>
    <row r="24" spans="1:7" ht="60" x14ac:dyDescent="0.25">
      <c r="A24" s="4"/>
      <c r="B24" s="4"/>
      <c r="C24" s="6" t="s">
        <v>43</v>
      </c>
      <c r="D24" s="13"/>
      <c r="E24" s="11">
        <f>ROUND((E21+E22)*0.3,2)</f>
        <v>765.52</v>
      </c>
      <c r="F24" s="13"/>
      <c r="G24" s="7">
        <f>ROUND((G21+G22)*0.3,2)</f>
        <v>765.52</v>
      </c>
    </row>
    <row r="25" spans="1:7" ht="43.5" customHeight="1" x14ac:dyDescent="0.25">
      <c r="A25" s="4"/>
      <c r="B25" s="4"/>
      <c r="C25" s="6" t="s">
        <v>54</v>
      </c>
      <c r="D25" s="13"/>
      <c r="E25" s="11"/>
      <c r="F25" s="13"/>
      <c r="G25" s="7">
        <f t="shared" ref="G25" si="2">ROUND(G21*0.25,2)</f>
        <v>490.72</v>
      </c>
    </row>
    <row r="26" spans="1:7" ht="45" x14ac:dyDescent="0.25">
      <c r="A26" s="4"/>
      <c r="B26" s="4"/>
      <c r="C26" s="6" t="s">
        <v>10</v>
      </c>
      <c r="D26" s="7"/>
      <c r="E26" s="7">
        <f>ROUND((E21+E22)*0.05,2)</f>
        <v>127.59</v>
      </c>
      <c r="F26" s="7"/>
      <c r="G26" s="7">
        <f>ROUND((G21+G22)*0.05,2)</f>
        <v>127.59</v>
      </c>
    </row>
    <row r="27" spans="1:7" ht="45" x14ac:dyDescent="0.25">
      <c r="A27" s="4"/>
      <c r="B27" s="4"/>
      <c r="C27" s="6" t="s">
        <v>44</v>
      </c>
      <c r="D27" s="7"/>
      <c r="E27" s="7">
        <f>ROUND(E21*0.4,2)</f>
        <v>785.14</v>
      </c>
      <c r="F27" s="7"/>
      <c r="G27" s="7">
        <f>ROUND(G21*0.4,2)</f>
        <v>785.14</v>
      </c>
    </row>
    <row r="28" spans="1:7" ht="35.25" customHeight="1" x14ac:dyDescent="0.25">
      <c r="A28" s="4"/>
      <c r="B28" s="4"/>
      <c r="C28" s="6" t="s">
        <v>45</v>
      </c>
      <c r="D28" s="7"/>
      <c r="E28" s="7">
        <f>ROUND(E21*0.2,2)</f>
        <v>392.57</v>
      </c>
      <c r="F28" s="7"/>
      <c r="G28" s="7">
        <f>ROUND(G21*0.2,2)</f>
        <v>392.57</v>
      </c>
    </row>
    <row r="29" spans="1:7" x14ac:dyDescent="0.25">
      <c r="A29" s="4"/>
      <c r="B29" s="4"/>
      <c r="C29" s="4" t="s">
        <v>11</v>
      </c>
      <c r="D29" s="7"/>
      <c r="E29" s="7">
        <f>ROUND((E21+E22+E23+E24+E26+E27+E28+E25)*0.05,2)</f>
        <v>256.64</v>
      </c>
      <c r="F29" s="7"/>
      <c r="G29" s="7">
        <f>ROUND((G21+G22+G23+G24+G26+G27+G28+G25)*0.05,2)</f>
        <v>281.18</v>
      </c>
    </row>
    <row r="30" spans="1:7" x14ac:dyDescent="0.25">
      <c r="A30" s="4"/>
      <c r="B30" s="4"/>
      <c r="C30" s="4" t="s">
        <v>12</v>
      </c>
      <c r="D30" s="3"/>
      <c r="E30" s="3">
        <f>ROUND((E21+E22+E23+E24+E26+E27+E28+E25)*0.01,2)</f>
        <v>51.33</v>
      </c>
      <c r="F30" s="3"/>
      <c r="G30" s="3">
        <f>ROUND((G21+G22+G23+G24+G26+G27+G28+G25)*0.01,2)</f>
        <v>56.24</v>
      </c>
    </row>
    <row r="31" spans="1:7" ht="30" x14ac:dyDescent="0.25">
      <c r="A31" s="4"/>
      <c r="B31" s="4"/>
      <c r="C31" s="6" t="s">
        <v>13</v>
      </c>
      <c r="D31" s="9"/>
      <c r="E31" s="9">
        <f>ROUND((E21+E22+E23+E24+E26+E27+E29+E30+E28+E25)*0.302,2)</f>
        <v>1643.14</v>
      </c>
      <c r="F31" s="9"/>
      <c r="G31" s="9">
        <f>ROUND((G21+G22+G23+G24+G26+G27+G29+G30+G28+G25)*0.302,2)</f>
        <v>1800.23</v>
      </c>
    </row>
    <row r="32" spans="1:7" ht="52.5" customHeight="1" x14ac:dyDescent="0.25">
      <c r="A32" s="4"/>
      <c r="B32" s="4"/>
      <c r="C32" s="6" t="s">
        <v>20</v>
      </c>
      <c r="D32" s="7"/>
      <c r="E32" s="7"/>
      <c r="F32" s="7"/>
      <c r="G32" s="7"/>
    </row>
    <row r="33" spans="1:7" x14ac:dyDescent="0.25">
      <c r="A33" s="4"/>
      <c r="B33" s="4"/>
      <c r="C33" s="8" t="s">
        <v>14</v>
      </c>
      <c r="D33" s="7"/>
      <c r="E33" s="7">
        <f>E21+E22+E23+E24+E26+E27+E29+E30+E31+E28+E25</f>
        <v>7083.9900000000007</v>
      </c>
      <c r="F33" s="7"/>
      <c r="G33" s="7">
        <f>G21+G22+G23+G24+G26+G27+G29+G30+G31+G28+G25</f>
        <v>7761.2500000000009</v>
      </c>
    </row>
    <row r="34" spans="1:7" x14ac:dyDescent="0.25">
      <c r="A34" s="4"/>
      <c r="B34" s="4"/>
      <c r="C34" s="8" t="s">
        <v>15</v>
      </c>
      <c r="D34" s="7"/>
      <c r="E34" s="7">
        <f t="shared" ref="E34:G34" si="3">ROUND(E33*12,2)</f>
        <v>85007.88</v>
      </c>
      <c r="F34" s="7"/>
      <c r="G34" s="7">
        <f t="shared" si="3"/>
        <v>93135</v>
      </c>
    </row>
    <row r="35" spans="1:7" ht="45" x14ac:dyDescent="0.25">
      <c r="A35" s="3">
        <v>3</v>
      </c>
      <c r="B35" s="6" t="s">
        <v>26</v>
      </c>
      <c r="C35" s="6" t="s">
        <v>35</v>
      </c>
      <c r="D35" s="17">
        <v>0.125</v>
      </c>
      <c r="E35" s="7">
        <f>ROUND(7793*1.0075*D35,2)</f>
        <v>981.43</v>
      </c>
      <c r="F35" s="17">
        <v>0.125</v>
      </c>
      <c r="G35" s="7">
        <f>ROUND(7793*1.0075*F35,2)</f>
        <v>981.43</v>
      </c>
    </row>
    <row r="36" spans="1:7" ht="45" x14ac:dyDescent="0.25">
      <c r="A36" s="4"/>
      <c r="B36" s="4"/>
      <c r="C36" s="6" t="s">
        <v>42</v>
      </c>
      <c r="D36" s="13"/>
      <c r="E36" s="11">
        <f>ROUND(E35*0.3,2)</f>
        <v>294.43</v>
      </c>
      <c r="F36" s="13"/>
      <c r="G36" s="7">
        <f>ROUND(G35*0.3,2)</f>
        <v>294.43</v>
      </c>
    </row>
    <row r="37" spans="1:7" ht="45" x14ac:dyDescent="0.25">
      <c r="A37" s="4"/>
      <c r="B37" s="4"/>
      <c r="C37" s="6" t="s">
        <v>41</v>
      </c>
      <c r="D37" s="13"/>
      <c r="E37" s="7">
        <f>ROUND((E35+E36)*0.2,2)</f>
        <v>255.17</v>
      </c>
      <c r="F37" s="13"/>
      <c r="G37" s="7">
        <f>ROUND((G35+G36)*0.2,2)</f>
        <v>255.17</v>
      </c>
    </row>
    <row r="38" spans="1:7" ht="60" x14ac:dyDescent="0.25">
      <c r="A38" s="4"/>
      <c r="B38" s="4"/>
      <c r="C38" s="6" t="s">
        <v>43</v>
      </c>
      <c r="D38" s="13"/>
      <c r="E38" s="11">
        <f>ROUND((E35+E36)*0.3,2)</f>
        <v>382.76</v>
      </c>
      <c r="F38" s="13"/>
      <c r="G38" s="7">
        <f>ROUND((G35+G36)*0.3,2)</f>
        <v>382.76</v>
      </c>
    </row>
    <row r="39" spans="1:7" ht="45" x14ac:dyDescent="0.25">
      <c r="A39" s="4"/>
      <c r="B39" s="4"/>
      <c r="C39" s="6" t="s">
        <v>54</v>
      </c>
      <c r="D39" s="13"/>
      <c r="E39" s="11"/>
      <c r="F39" s="13"/>
      <c r="G39" s="7">
        <f t="shared" ref="G39" si="4">ROUND(G35*0.25,2)</f>
        <v>245.36</v>
      </c>
    </row>
    <row r="40" spans="1:7" ht="45" x14ac:dyDescent="0.25">
      <c r="A40" s="4"/>
      <c r="B40" s="4"/>
      <c r="C40" s="6" t="s">
        <v>10</v>
      </c>
      <c r="D40" s="7"/>
      <c r="E40" s="7">
        <f>ROUND((E35+E36)*0.05,2)</f>
        <v>63.79</v>
      </c>
      <c r="F40" s="7"/>
      <c r="G40" s="7">
        <f>ROUND((G35+G36)*0.05,2)</f>
        <v>63.79</v>
      </c>
    </row>
    <row r="41" spans="1:7" ht="45" x14ac:dyDescent="0.25">
      <c r="A41" s="4"/>
      <c r="B41" s="4"/>
      <c r="C41" s="6" t="s">
        <v>44</v>
      </c>
      <c r="D41" s="7"/>
      <c r="E41" s="7">
        <f>ROUND(E35*0.4,2)</f>
        <v>392.57</v>
      </c>
      <c r="F41" s="7"/>
      <c r="G41" s="7">
        <f>ROUND(G35*0.4,2)</f>
        <v>392.57</v>
      </c>
    </row>
    <row r="42" spans="1:7" ht="36.75" customHeight="1" x14ac:dyDescent="0.25">
      <c r="A42" s="4"/>
      <c r="B42" s="4"/>
      <c r="C42" s="6" t="s">
        <v>45</v>
      </c>
      <c r="D42" s="7"/>
      <c r="E42" s="7">
        <f>ROUND(E35*0.2,2)</f>
        <v>196.29</v>
      </c>
      <c r="F42" s="7"/>
      <c r="G42" s="7">
        <f>ROUND(G35*0.2,2)</f>
        <v>196.29</v>
      </c>
    </row>
    <row r="43" spans="1:7" ht="26.25" customHeight="1" x14ac:dyDescent="0.25">
      <c r="A43" s="4"/>
      <c r="B43" s="4"/>
      <c r="C43" s="4" t="s">
        <v>11</v>
      </c>
      <c r="D43" s="7"/>
      <c r="E43" s="7">
        <f>ROUND((E35+E36+E37+E38+E40+E41+E42+E39)*0.05,2)</f>
        <v>128.32</v>
      </c>
      <c r="F43" s="7"/>
      <c r="G43" s="7">
        <f>ROUND((G35+G36+G37+G38+G40+G41+G42+G39)*0.05,2)</f>
        <v>140.59</v>
      </c>
    </row>
    <row r="44" spans="1:7" x14ac:dyDescent="0.25">
      <c r="A44" s="4"/>
      <c r="B44" s="4"/>
      <c r="C44" s="4" t="s">
        <v>12</v>
      </c>
      <c r="D44" s="3"/>
      <c r="E44" s="3">
        <f>ROUND((E35+E36+E37+E38+E40+E41+E42+E39)*0.01,2)</f>
        <v>25.66</v>
      </c>
      <c r="F44" s="3"/>
      <c r="G44" s="3">
        <f>ROUND((G35+G36+G37+G38+G40+G41+G42+G39)*0.01,2)</f>
        <v>28.12</v>
      </c>
    </row>
    <row r="45" spans="1:7" ht="30" x14ac:dyDescent="0.25">
      <c r="A45" s="4"/>
      <c r="B45" s="4"/>
      <c r="C45" s="6" t="s">
        <v>13</v>
      </c>
      <c r="D45" s="9"/>
      <c r="E45" s="9">
        <f>ROUND((E35+E36+E37+E38+E40+E41+E43+E44+E42+E39)*0.302,2)</f>
        <v>821.57</v>
      </c>
      <c r="F45" s="9"/>
      <c r="G45" s="9">
        <f>ROUND((G35+G36+G37+G38+G40+G41+G43+G44+G42+G39)*0.302,2)</f>
        <v>900.11</v>
      </c>
    </row>
    <row r="46" spans="1:7" ht="55.5" customHeight="1" x14ac:dyDescent="0.25">
      <c r="A46" s="4"/>
      <c r="B46" s="4"/>
      <c r="C46" s="6" t="s">
        <v>21</v>
      </c>
      <c r="D46" s="7"/>
      <c r="E46" s="7"/>
      <c r="F46" s="7"/>
      <c r="G46" s="7"/>
    </row>
    <row r="47" spans="1:7" x14ac:dyDescent="0.25">
      <c r="A47" s="4"/>
      <c r="B47" s="4"/>
      <c r="C47" s="8" t="s">
        <v>14</v>
      </c>
      <c r="D47" s="7"/>
      <c r="E47" s="7">
        <f>E35+E36+E37+E38+E40+E41+E43+E44+E45+E42+E39</f>
        <v>3541.9900000000002</v>
      </c>
      <c r="F47" s="7"/>
      <c r="G47" s="7">
        <f>G35+G36+G37+G38+G40+G41+G43+G44+G45+G42+G39</f>
        <v>3880.6200000000003</v>
      </c>
    </row>
    <row r="48" spans="1:7" x14ac:dyDescent="0.25">
      <c r="A48" s="4"/>
      <c r="B48" s="4"/>
      <c r="C48" s="8" t="s">
        <v>15</v>
      </c>
      <c r="D48" s="7"/>
      <c r="E48" s="7">
        <f t="shared" ref="E48:G48" si="5">ROUND(E47*12,2)</f>
        <v>42503.88</v>
      </c>
      <c r="F48" s="7"/>
      <c r="G48" s="7">
        <f t="shared" si="5"/>
        <v>46567.44</v>
      </c>
    </row>
    <row r="49" spans="1:7" ht="65.25" customHeight="1" x14ac:dyDescent="0.25">
      <c r="A49" s="3">
        <v>4</v>
      </c>
      <c r="B49" s="6" t="s">
        <v>17</v>
      </c>
      <c r="C49" s="6" t="s">
        <v>35</v>
      </c>
      <c r="D49" s="14">
        <v>1</v>
      </c>
      <c r="E49" s="11">
        <f>ROUND(8992*1.0075*D49,2)</f>
        <v>9059.44</v>
      </c>
      <c r="F49" s="3">
        <v>1</v>
      </c>
      <c r="G49" s="7">
        <f>ROUND(8992*1.0075*F49,2)</f>
        <v>9059.44</v>
      </c>
    </row>
    <row r="50" spans="1:7" ht="45" x14ac:dyDescent="0.25">
      <c r="A50" s="4"/>
      <c r="B50" s="4"/>
      <c r="C50" s="6" t="s">
        <v>42</v>
      </c>
      <c r="D50" s="13"/>
      <c r="E50" s="11">
        <f>ROUND(E49*0.3,2)</f>
        <v>2717.83</v>
      </c>
      <c r="F50" s="4"/>
      <c r="G50" s="7">
        <f>ROUND(G49*0.3,2)</f>
        <v>2717.83</v>
      </c>
    </row>
    <row r="51" spans="1:7" ht="41.25" customHeight="1" x14ac:dyDescent="0.25">
      <c r="A51" s="4"/>
      <c r="B51" s="4"/>
      <c r="C51" s="6" t="s">
        <v>41</v>
      </c>
      <c r="D51" s="13"/>
      <c r="E51" s="11">
        <f>ROUND((E49+E50)*0.2,2)</f>
        <v>2355.4499999999998</v>
      </c>
      <c r="F51" s="4"/>
      <c r="G51" s="7">
        <f>ROUND((G49+G50)*0.2,2)</f>
        <v>2355.4499999999998</v>
      </c>
    </row>
    <row r="52" spans="1:7" ht="60" x14ac:dyDescent="0.25">
      <c r="A52" s="4"/>
      <c r="B52" s="4"/>
      <c r="C52" s="6" t="s">
        <v>43</v>
      </c>
      <c r="D52" s="13"/>
      <c r="E52" s="11">
        <f>ROUND((E49+E50)*0.3,2)</f>
        <v>3533.18</v>
      </c>
      <c r="F52" s="4"/>
      <c r="G52" s="7">
        <f>ROUND((G49+G50)*0.3,2)</f>
        <v>3533.18</v>
      </c>
    </row>
    <row r="53" spans="1:7" ht="45" x14ac:dyDescent="0.25">
      <c r="A53" s="4"/>
      <c r="B53" s="4"/>
      <c r="C53" s="6" t="s">
        <v>54</v>
      </c>
      <c r="D53" s="13"/>
      <c r="E53" s="11"/>
      <c r="F53" s="4"/>
      <c r="G53" s="7">
        <f t="shared" ref="G53" si="6">ROUND(G49*0.25,2)</f>
        <v>2264.86</v>
      </c>
    </row>
    <row r="54" spans="1:7" ht="45" x14ac:dyDescent="0.25">
      <c r="A54" s="4"/>
      <c r="B54" s="4"/>
      <c r="C54" s="6" t="s">
        <v>10</v>
      </c>
      <c r="D54" s="13"/>
      <c r="E54" s="11">
        <f>ROUND((E49+E50)*0.05,2)</f>
        <v>588.86</v>
      </c>
      <c r="F54" s="4"/>
      <c r="G54" s="7">
        <f>ROUND((G49+G50)*0.05,2)</f>
        <v>588.86</v>
      </c>
    </row>
    <row r="55" spans="1:7" ht="45" x14ac:dyDescent="0.25">
      <c r="A55" s="4"/>
      <c r="B55" s="4"/>
      <c r="C55" s="6" t="s">
        <v>44</v>
      </c>
      <c r="D55" s="13"/>
      <c r="E55" s="11">
        <f>ROUND(E49*0.4,2)</f>
        <v>3623.78</v>
      </c>
      <c r="F55" s="4"/>
      <c r="G55" s="7">
        <f>ROUND(G49*0.4,2)</f>
        <v>3623.78</v>
      </c>
    </row>
    <row r="56" spans="1:7" ht="39.75" customHeight="1" x14ac:dyDescent="0.25">
      <c r="A56" s="4"/>
      <c r="B56" s="4"/>
      <c r="C56" s="6" t="s">
        <v>45</v>
      </c>
      <c r="D56" s="13"/>
      <c r="E56" s="11">
        <f>ROUND(E49*0.2,2)</f>
        <v>1811.89</v>
      </c>
      <c r="F56" s="4"/>
      <c r="G56" s="7">
        <f>ROUND(G49*0.2,2)</f>
        <v>1811.89</v>
      </c>
    </row>
    <row r="57" spans="1:7" x14ac:dyDescent="0.25">
      <c r="A57" s="4"/>
      <c r="B57" s="4"/>
      <c r="C57" s="4" t="s">
        <v>11</v>
      </c>
      <c r="D57" s="13"/>
      <c r="E57" s="11">
        <f>ROUND((E49+E50+E51+E52+E54+E55+E56+E53)*0.05,2)</f>
        <v>1184.52</v>
      </c>
      <c r="F57" s="4"/>
      <c r="G57" s="7">
        <f>ROUND((G49+G50+G51+G52+G54+G55+G56+G53)*0.05,2)</f>
        <v>1297.76</v>
      </c>
    </row>
    <row r="58" spans="1:7" ht="24.75" customHeight="1" x14ac:dyDescent="0.25">
      <c r="A58" s="4"/>
      <c r="B58" s="4"/>
      <c r="C58" s="4" t="s">
        <v>12</v>
      </c>
      <c r="D58" s="13"/>
      <c r="E58" s="14">
        <f>ROUND((E49+E50+E51+E52+E54+E55+E56+E53)*0.01,2)</f>
        <v>236.9</v>
      </c>
      <c r="F58" s="4"/>
      <c r="G58" s="19">
        <f>ROUND((G49+G50+G51+G52+G54+G55+G56+G53)*0.01,2)</f>
        <v>259.55</v>
      </c>
    </row>
    <row r="59" spans="1:7" ht="30" x14ac:dyDescent="0.25">
      <c r="A59" s="4"/>
      <c r="B59" s="4"/>
      <c r="C59" s="6" t="s">
        <v>13</v>
      </c>
      <c r="D59" s="13"/>
      <c r="E59" s="11">
        <f>ROUND((E49+E50+E51+E52+E54+E55+E57+E58+E56+E53)*0.302,2)</f>
        <v>7583.78</v>
      </c>
      <c r="F59" s="4"/>
      <c r="G59" s="9">
        <f>ROUND((G49+G50+G51+G52+G54+G55+G57+G58+G56+G53)*0.302,2)</f>
        <v>8308.81</v>
      </c>
    </row>
    <row r="60" spans="1:7" ht="45" x14ac:dyDescent="0.25">
      <c r="A60" s="4"/>
      <c r="B60" s="4"/>
      <c r="C60" s="6" t="s">
        <v>22</v>
      </c>
      <c r="D60" s="13"/>
      <c r="E60" s="11"/>
      <c r="F60" s="4"/>
      <c r="G60" s="7"/>
    </row>
    <row r="61" spans="1:7" x14ac:dyDescent="0.25">
      <c r="A61" s="4"/>
      <c r="B61" s="4"/>
      <c r="C61" s="8" t="s">
        <v>14</v>
      </c>
      <c r="D61" s="13"/>
      <c r="E61" s="11">
        <f>E49+E50+E51+E52+E54+E55+E57+E58+E59+E56+E53</f>
        <v>32695.63</v>
      </c>
      <c r="F61" s="4"/>
      <c r="G61" s="7">
        <f>G49+G50+G51+G52+G54+G55+G57+G58+G59+G56+G53</f>
        <v>35821.409999999996</v>
      </c>
    </row>
    <row r="62" spans="1:7" x14ac:dyDescent="0.25">
      <c r="A62" s="4"/>
      <c r="B62" s="4"/>
      <c r="C62" s="8" t="s">
        <v>15</v>
      </c>
      <c r="D62" s="13"/>
      <c r="E62" s="11">
        <f>ROUND(E61*12,2)</f>
        <v>392347.56</v>
      </c>
      <c r="F62" s="4"/>
      <c r="G62" s="7">
        <f>ROUND(G61*12,2)</f>
        <v>429856.92</v>
      </c>
    </row>
    <row r="63" spans="1:7" ht="30" x14ac:dyDescent="0.25">
      <c r="A63" s="3">
        <v>5</v>
      </c>
      <c r="B63" s="6" t="s">
        <v>19</v>
      </c>
      <c r="C63" s="6" t="s">
        <v>9</v>
      </c>
      <c r="D63" s="17">
        <v>8.3000000000000004E-2</v>
      </c>
      <c r="E63" s="7">
        <f>ROUND(8570*1.0075*D63,2)</f>
        <v>716.64</v>
      </c>
      <c r="F63" s="16">
        <v>8.3000000000000004E-2</v>
      </c>
      <c r="G63" s="7">
        <f>ROUND(8570*1.0075*F63,2)</f>
        <v>716.64</v>
      </c>
    </row>
    <row r="64" spans="1:7" ht="45" x14ac:dyDescent="0.25">
      <c r="A64" s="4"/>
      <c r="B64" s="4"/>
      <c r="C64" s="6" t="s">
        <v>47</v>
      </c>
      <c r="D64" s="13"/>
      <c r="E64" s="11">
        <f>ROUND(E63*0.3,2)</f>
        <v>214.99</v>
      </c>
      <c r="F64" s="13"/>
      <c r="G64" s="7">
        <f>ROUND(G63*0.3,2)</f>
        <v>214.99</v>
      </c>
    </row>
    <row r="65" spans="1:7" ht="45" x14ac:dyDescent="0.25">
      <c r="A65" s="4"/>
      <c r="B65" s="4"/>
      <c r="C65" s="6" t="s">
        <v>48</v>
      </c>
      <c r="D65" s="13"/>
      <c r="E65" s="7">
        <f>ROUND((E63+E64)*0.2,2)</f>
        <v>186.33</v>
      </c>
      <c r="F65" s="13"/>
      <c r="G65" s="7">
        <f>ROUND((G63+G64)*0.2,2)</f>
        <v>186.33</v>
      </c>
    </row>
    <row r="66" spans="1:7" ht="60" x14ac:dyDescent="0.25">
      <c r="A66" s="4"/>
      <c r="B66" s="4"/>
      <c r="C66" s="6" t="s">
        <v>53</v>
      </c>
      <c r="D66" s="13"/>
      <c r="E66" s="11">
        <f>ROUND((E63+E64)*0.3,2)</f>
        <v>279.49</v>
      </c>
      <c r="F66" s="13"/>
      <c r="G66" s="7">
        <f>ROUND((G63+G64)*0.3,2)</f>
        <v>279.49</v>
      </c>
    </row>
    <row r="67" spans="1:7" ht="45" x14ac:dyDescent="0.25">
      <c r="A67" s="4"/>
      <c r="B67" s="4"/>
      <c r="C67" s="6" t="s">
        <v>54</v>
      </c>
      <c r="D67" s="13"/>
      <c r="E67" s="11"/>
      <c r="F67" s="13"/>
      <c r="G67" s="7">
        <f t="shared" ref="G67" si="7">ROUND(G63*0.25,2)</f>
        <v>179.16</v>
      </c>
    </row>
    <row r="68" spans="1:7" ht="45" x14ac:dyDescent="0.25">
      <c r="A68" s="4"/>
      <c r="B68" s="4"/>
      <c r="C68" s="6" t="s">
        <v>10</v>
      </c>
      <c r="D68" s="7"/>
      <c r="E68" s="7">
        <f>ROUND((E63+E64)*0.05,2)</f>
        <v>46.58</v>
      </c>
      <c r="F68" s="7"/>
      <c r="G68" s="7">
        <f>ROUND((G63+G64)*0.05,2)</f>
        <v>46.58</v>
      </c>
    </row>
    <row r="69" spans="1:7" ht="45" x14ac:dyDescent="0.25">
      <c r="A69" s="4"/>
      <c r="B69" s="4"/>
      <c r="C69" s="6" t="s">
        <v>49</v>
      </c>
      <c r="D69" s="7"/>
      <c r="E69" s="7">
        <f>ROUND(E63*0.4,2)</f>
        <v>286.66000000000003</v>
      </c>
      <c r="F69" s="7"/>
      <c r="G69" s="7">
        <f>ROUND(G63*0.4,2)</f>
        <v>286.66000000000003</v>
      </c>
    </row>
    <row r="70" spans="1:7" ht="52.5" customHeight="1" x14ac:dyDescent="0.25">
      <c r="A70" s="4"/>
      <c r="B70" s="4"/>
      <c r="C70" s="6" t="s">
        <v>50</v>
      </c>
      <c r="D70" s="7"/>
      <c r="E70" s="7">
        <f>ROUND(E63*0.2,2)</f>
        <v>143.33000000000001</v>
      </c>
      <c r="F70" s="7"/>
      <c r="G70" s="7">
        <f>ROUND(G63*0.2,2)</f>
        <v>143.33000000000001</v>
      </c>
    </row>
    <row r="71" spans="1:7" x14ac:dyDescent="0.25">
      <c r="A71" s="4"/>
      <c r="B71" s="4"/>
      <c r="C71" s="4" t="s">
        <v>11</v>
      </c>
      <c r="D71" s="7"/>
      <c r="E71" s="7">
        <f>ROUND((E63+E64+F65+E66+E68+E69+E70+E67)*0.05,2)</f>
        <v>84.38</v>
      </c>
      <c r="F71" s="7"/>
      <c r="G71" s="7">
        <v>84.38</v>
      </c>
    </row>
    <row r="72" spans="1:7" x14ac:dyDescent="0.25">
      <c r="A72" s="4"/>
      <c r="B72" s="4"/>
      <c r="C72" s="4" t="s">
        <v>12</v>
      </c>
      <c r="D72" s="3"/>
      <c r="E72" s="3">
        <f>ROUND((E63+E64+E65+E66+E68+E69+E70+E67)*0.01,2)</f>
        <v>18.739999999999998</v>
      </c>
      <c r="F72" s="3"/>
      <c r="G72" s="3">
        <v>18.739999999999998</v>
      </c>
    </row>
    <row r="73" spans="1:7" ht="30" x14ac:dyDescent="0.25">
      <c r="A73" s="4"/>
      <c r="B73" s="4"/>
      <c r="C73" s="6" t="s">
        <v>13</v>
      </c>
      <c r="D73" s="9"/>
      <c r="E73" s="9">
        <f>ROUND((E63+E64+E65+E66+E68+E69+E71+E72+E70+E67)*0.302,2)</f>
        <v>597.1</v>
      </c>
      <c r="F73" s="9"/>
      <c r="G73" s="9">
        <v>597.1</v>
      </c>
    </row>
    <row r="74" spans="1:7" ht="30" x14ac:dyDescent="0.25">
      <c r="A74" s="4"/>
      <c r="B74" s="4"/>
      <c r="C74" s="6" t="s">
        <v>46</v>
      </c>
      <c r="D74" s="7"/>
      <c r="E74" s="7"/>
      <c r="F74" s="7"/>
      <c r="G74" s="7"/>
    </row>
    <row r="75" spans="1:7" x14ac:dyDescent="0.25">
      <c r="A75" s="4"/>
      <c r="B75" s="4"/>
      <c r="C75" s="8" t="s">
        <v>14</v>
      </c>
      <c r="D75" s="7"/>
      <c r="E75" s="7">
        <f>E63+E64+E65+E66+E68+E69+E71+E72+E73+E70+E67</f>
        <v>2574.2400000000002</v>
      </c>
      <c r="F75" s="7"/>
      <c r="G75" s="7">
        <v>2574.2400000000002</v>
      </c>
    </row>
    <row r="76" spans="1:7" x14ac:dyDescent="0.25">
      <c r="A76" s="4"/>
      <c r="B76" s="4"/>
      <c r="C76" s="8" t="s">
        <v>15</v>
      </c>
      <c r="D76" s="13"/>
      <c r="E76" s="11">
        <f>ROUND(E75*12,2)</f>
        <v>30890.880000000001</v>
      </c>
      <c r="F76" s="13"/>
      <c r="G76" s="7">
        <f>ROUND(G75*12,2)</f>
        <v>30890.880000000001</v>
      </c>
    </row>
    <row r="77" spans="1:7" ht="30" x14ac:dyDescent="0.25">
      <c r="A77" s="3">
        <v>6</v>
      </c>
      <c r="B77" s="6" t="s">
        <v>6</v>
      </c>
      <c r="C77" s="6" t="s">
        <v>9</v>
      </c>
      <c r="D77" s="14">
        <v>1.25</v>
      </c>
      <c r="E77" s="7">
        <f>ROUND(5418*1.0075*D77,0)</f>
        <v>6823</v>
      </c>
      <c r="F77" s="14">
        <v>1.25</v>
      </c>
      <c r="G77" s="7">
        <f>ROUND(5418*1.0075*F77,0)</f>
        <v>6823</v>
      </c>
    </row>
    <row r="78" spans="1:7" ht="30" x14ac:dyDescent="0.25">
      <c r="A78" s="3"/>
      <c r="B78" s="6"/>
      <c r="C78" s="6" t="s">
        <v>51</v>
      </c>
      <c r="D78" s="14"/>
      <c r="E78" s="7">
        <f>ROUND(E77*0.2,2)</f>
        <v>1364.6</v>
      </c>
      <c r="F78" s="14"/>
      <c r="G78" s="7">
        <f>ROUND(G77*0.2,2)</f>
        <v>1364.6</v>
      </c>
    </row>
    <row r="79" spans="1:7" ht="45" x14ac:dyDescent="0.25">
      <c r="A79" s="4"/>
      <c r="B79" s="4"/>
      <c r="C79" s="6" t="s">
        <v>52</v>
      </c>
      <c r="D79" s="13"/>
      <c r="E79" s="11">
        <f>ROUND(E77*0.3,0)</f>
        <v>2047</v>
      </c>
      <c r="F79" s="13"/>
      <c r="G79" s="7">
        <f>ROUND(G77*0.3,0)</f>
        <v>2047</v>
      </c>
    </row>
    <row r="80" spans="1:7" ht="45" x14ac:dyDescent="0.25">
      <c r="A80" s="4"/>
      <c r="B80" s="4"/>
      <c r="C80" s="6" t="s">
        <v>10</v>
      </c>
      <c r="D80" s="7"/>
      <c r="E80" s="7">
        <f t="shared" ref="E80:G80" si="8">ROUND((E77)*0.05,2)</f>
        <v>341.15</v>
      </c>
      <c r="F80" s="7"/>
      <c r="G80" s="7">
        <f t="shared" si="8"/>
        <v>341.15</v>
      </c>
    </row>
    <row r="81" spans="1:7" ht="30.75" customHeight="1" x14ac:dyDescent="0.25">
      <c r="A81" s="4"/>
      <c r="B81" s="4"/>
      <c r="C81" s="6" t="s">
        <v>32</v>
      </c>
      <c r="D81" s="7"/>
      <c r="E81" s="7">
        <f t="shared" ref="E81:G81" si="9">ROUND(E77*0.2,2)</f>
        <v>1364.6</v>
      </c>
      <c r="F81" s="7"/>
      <c r="G81" s="7">
        <f t="shared" si="9"/>
        <v>1364.6</v>
      </c>
    </row>
    <row r="82" spans="1:7" x14ac:dyDescent="0.25">
      <c r="A82" s="4"/>
      <c r="B82" s="4"/>
      <c r="C82" s="4" t="s">
        <v>11</v>
      </c>
      <c r="D82" s="7"/>
      <c r="E82" s="7">
        <f t="shared" ref="E82:G82" si="10">ROUND((E77+E78+E79+E80+E81)*0.05,0)</f>
        <v>597</v>
      </c>
      <c r="F82" s="7"/>
      <c r="G82" s="7">
        <f t="shared" si="10"/>
        <v>597</v>
      </c>
    </row>
    <row r="83" spans="1:7" x14ac:dyDescent="0.25">
      <c r="A83" s="4"/>
      <c r="B83" s="4"/>
      <c r="C83" s="4" t="s">
        <v>12</v>
      </c>
      <c r="D83" s="7"/>
      <c r="E83" s="7">
        <f t="shared" ref="E83:G83" si="11">ROUND((E77+E78+E79+E80+E81)*0.01,2)</f>
        <v>119.4</v>
      </c>
      <c r="F83" s="7"/>
      <c r="G83" s="7">
        <f t="shared" si="11"/>
        <v>119.4</v>
      </c>
    </row>
    <row r="84" spans="1:7" x14ac:dyDescent="0.25">
      <c r="A84" s="4"/>
      <c r="B84" s="4"/>
      <c r="C84" s="4" t="s">
        <v>30</v>
      </c>
      <c r="D84" s="7"/>
      <c r="E84" s="7">
        <f>ROUND((12130-(E77+E78+E79+E80+E82+E81)/D77)*D77,2)</f>
        <v>2625.15</v>
      </c>
      <c r="F84" s="7"/>
      <c r="G84" s="7">
        <f>ROUND((12130-(G77+G78+G79+G80+G82+G81)/F77)*F77,2)</f>
        <v>2625.15</v>
      </c>
    </row>
    <row r="85" spans="1:7" x14ac:dyDescent="0.25">
      <c r="A85" s="4"/>
      <c r="B85" s="4"/>
      <c r="C85" s="4" t="s">
        <v>31</v>
      </c>
      <c r="D85" s="7"/>
      <c r="E85" s="7">
        <f>ROUND(12130/29.3*28*D77/365*28,2)</f>
        <v>1111.54</v>
      </c>
      <c r="F85" s="7"/>
      <c r="G85" s="7">
        <f>ROUND(12130/29.3*28*F77/365*28,2)</f>
        <v>1111.54</v>
      </c>
    </row>
    <row r="86" spans="1:7" ht="30" x14ac:dyDescent="0.25">
      <c r="A86" s="4"/>
      <c r="B86" s="4"/>
      <c r="C86" s="6" t="s">
        <v>13</v>
      </c>
      <c r="D86" s="7"/>
      <c r="E86" s="7">
        <f t="shared" ref="E86:G86" si="12">ROUND((E77+E78+E79+E80+E82+E83+E84+E85+E81)*0.302,0)</f>
        <v>4951</v>
      </c>
      <c r="F86" s="7"/>
      <c r="G86" s="7">
        <f t="shared" si="12"/>
        <v>4951</v>
      </c>
    </row>
    <row r="87" spans="1:7" ht="30" x14ac:dyDescent="0.25">
      <c r="A87" s="4"/>
      <c r="B87" s="4"/>
      <c r="C87" s="6" t="s">
        <v>24</v>
      </c>
      <c r="D87" s="7"/>
      <c r="E87" s="7"/>
      <c r="F87" s="7"/>
      <c r="G87" s="7"/>
    </row>
    <row r="88" spans="1:7" x14ac:dyDescent="0.25">
      <c r="A88" s="4"/>
      <c r="B88" s="4"/>
      <c r="C88" s="8" t="s">
        <v>14</v>
      </c>
      <c r="D88" s="7"/>
      <c r="E88" s="7">
        <f t="shared" ref="E88:G88" si="13">E77+E78+E79+E80+E82+E83+E86+E84+E85+E81</f>
        <v>21344.44</v>
      </c>
      <c r="F88" s="7"/>
      <c r="G88" s="7">
        <f t="shared" si="13"/>
        <v>21344.44</v>
      </c>
    </row>
    <row r="89" spans="1:7" x14ac:dyDescent="0.25">
      <c r="A89" s="4"/>
      <c r="B89" s="4"/>
      <c r="C89" s="8" t="s">
        <v>15</v>
      </c>
      <c r="D89" s="13"/>
      <c r="E89" s="11">
        <f>ROUND(E88*12,0)</f>
        <v>256133</v>
      </c>
      <c r="F89" s="13"/>
      <c r="G89" s="7">
        <f>ROUND(G88*12,0)</f>
        <v>256133</v>
      </c>
    </row>
    <row r="90" spans="1:7" ht="45.75" customHeight="1" x14ac:dyDescent="0.25">
      <c r="A90" s="3">
        <v>7</v>
      </c>
      <c r="B90" s="6" t="s">
        <v>34</v>
      </c>
      <c r="C90" s="6" t="s">
        <v>35</v>
      </c>
      <c r="D90" s="14">
        <v>1</v>
      </c>
      <c r="E90" s="7">
        <f>ROUND(4047*D90*1.0075,0)</f>
        <v>4077</v>
      </c>
      <c r="F90" s="14">
        <v>1</v>
      </c>
      <c r="G90" s="7">
        <f>ROUND(4047*F90*1.0075,0)</f>
        <v>4077</v>
      </c>
    </row>
    <row r="91" spans="1:7" ht="45" x14ac:dyDescent="0.25">
      <c r="A91" s="4"/>
      <c r="B91" s="4"/>
      <c r="C91" s="6" t="s">
        <v>10</v>
      </c>
      <c r="D91" s="7"/>
      <c r="E91" s="7">
        <f t="shared" ref="E91:G91" si="14">ROUND((E90)*0.05,2)</f>
        <v>203.85</v>
      </c>
      <c r="F91" s="7"/>
      <c r="G91" s="7">
        <f t="shared" si="14"/>
        <v>203.85</v>
      </c>
    </row>
    <row r="92" spans="1:7" ht="30.75" customHeight="1" x14ac:dyDescent="0.25">
      <c r="A92" s="4"/>
      <c r="B92" s="4"/>
      <c r="C92" s="6" t="s">
        <v>36</v>
      </c>
      <c r="D92" s="7"/>
      <c r="E92" s="7">
        <f t="shared" ref="E92:G92" si="15">ROUND(E90*0.2,2)</f>
        <v>815.4</v>
      </c>
      <c r="F92" s="7"/>
      <c r="G92" s="7">
        <f t="shared" si="15"/>
        <v>815.4</v>
      </c>
    </row>
    <row r="93" spans="1:7" x14ac:dyDescent="0.25">
      <c r="A93" s="4"/>
      <c r="B93" s="4"/>
      <c r="C93" s="4" t="s">
        <v>11</v>
      </c>
      <c r="D93" s="7"/>
      <c r="E93" s="7">
        <f t="shared" ref="E93:G93" si="16">ROUND((E90+E91+E92)*0.05,0)</f>
        <v>255</v>
      </c>
      <c r="F93" s="7"/>
      <c r="G93" s="7">
        <f t="shared" si="16"/>
        <v>255</v>
      </c>
    </row>
    <row r="94" spans="1:7" x14ac:dyDescent="0.25">
      <c r="A94" s="4"/>
      <c r="B94" s="4"/>
      <c r="C94" s="4" t="s">
        <v>12</v>
      </c>
      <c r="D94" s="7"/>
      <c r="E94" s="7">
        <f t="shared" ref="E94:G94" si="17">ROUND((E90+E91+E92)*0.01,2)</f>
        <v>50.96</v>
      </c>
      <c r="F94" s="7"/>
      <c r="G94" s="7">
        <f t="shared" si="17"/>
        <v>50.96</v>
      </c>
    </row>
    <row r="95" spans="1:7" x14ac:dyDescent="0.25">
      <c r="A95" s="4"/>
      <c r="B95" s="4"/>
      <c r="C95" s="4" t="s">
        <v>30</v>
      </c>
      <c r="D95" s="7"/>
      <c r="E95" s="7">
        <f>ROUND((12130-(E90+E91+E93+E92)/D90)*D90,2)</f>
        <v>6778.75</v>
      </c>
      <c r="F95" s="7"/>
      <c r="G95" s="7">
        <f>ROUND((12130-(G90+G91+G93+G92)/F90)*F90,2)</f>
        <v>6778.75</v>
      </c>
    </row>
    <row r="96" spans="1:7" x14ac:dyDescent="0.25">
      <c r="A96" s="4"/>
      <c r="B96" s="4"/>
      <c r="C96" s="4" t="s">
        <v>31</v>
      </c>
      <c r="D96" s="7"/>
      <c r="E96" s="7">
        <f>ROUND(12130/29.3*28*D90/365*28,2)</f>
        <v>889.23</v>
      </c>
      <c r="F96" s="7"/>
      <c r="G96" s="7">
        <f>ROUND(12130/29.3*28*F90/365*28,2)</f>
        <v>889.23</v>
      </c>
    </row>
    <row r="97" spans="1:9" ht="30" x14ac:dyDescent="0.25">
      <c r="A97" s="4"/>
      <c r="B97" s="4"/>
      <c r="C97" s="6" t="s">
        <v>13</v>
      </c>
      <c r="D97" s="7"/>
      <c r="E97" s="7">
        <f t="shared" ref="E97:G97" si="18">ROUND((E90+E91+E93+E94+E95+E96+E92)*0.302,0)</f>
        <v>3947</v>
      </c>
      <c r="F97" s="7"/>
      <c r="G97" s="7">
        <f t="shared" si="18"/>
        <v>3947</v>
      </c>
    </row>
    <row r="98" spans="1:9" ht="30" x14ac:dyDescent="0.25">
      <c r="A98" s="4"/>
      <c r="B98" s="4"/>
      <c r="C98" s="6" t="s">
        <v>37</v>
      </c>
      <c r="D98" s="7"/>
      <c r="E98" s="7"/>
      <c r="F98" s="7"/>
      <c r="G98" s="7"/>
    </row>
    <row r="99" spans="1:9" x14ac:dyDescent="0.25">
      <c r="A99" s="4"/>
      <c r="B99" s="4"/>
      <c r="C99" s="8" t="s">
        <v>14</v>
      </c>
      <c r="D99" s="7"/>
      <c r="E99" s="7">
        <f t="shared" ref="E99:G99" si="19">E90+E91+E93+E94+E97+E95+E96+E92</f>
        <v>17017.190000000002</v>
      </c>
      <c r="F99" s="7"/>
      <c r="G99" s="7">
        <f t="shared" si="19"/>
        <v>17017.190000000002</v>
      </c>
    </row>
    <row r="100" spans="1:9" x14ac:dyDescent="0.25">
      <c r="A100" s="4"/>
      <c r="B100" s="4"/>
      <c r="C100" s="8" t="s">
        <v>15</v>
      </c>
      <c r="D100" s="7"/>
      <c r="E100" s="7">
        <f t="shared" ref="E100:G100" si="20">ROUND(E99*12,0)</f>
        <v>204206</v>
      </c>
      <c r="F100" s="7"/>
      <c r="G100" s="7">
        <f t="shared" si="20"/>
        <v>204206</v>
      </c>
    </row>
    <row r="101" spans="1:9" ht="19.5" customHeight="1" x14ac:dyDescent="0.25">
      <c r="A101" s="4"/>
      <c r="B101" s="60" t="s">
        <v>27</v>
      </c>
      <c r="C101" s="61"/>
      <c r="D101" s="13"/>
      <c r="E101" s="13"/>
      <c r="F101" s="4"/>
      <c r="G101" s="4"/>
    </row>
    <row r="102" spans="1:9" ht="48.75" customHeight="1" x14ac:dyDescent="0.25">
      <c r="A102" s="4"/>
      <c r="B102" s="6"/>
      <c r="C102" s="6" t="s">
        <v>56</v>
      </c>
      <c r="D102" s="7"/>
      <c r="E102" s="7">
        <f>ROUND((E20+E34+E48+E62+E76+E89+E100)*0.192,2)</f>
        <v>397435.05</v>
      </c>
      <c r="F102" s="7"/>
      <c r="G102" s="7">
        <f>ROUND((G20+G34+G48+G62+G76+G89+G100)*0.192,2)</f>
        <v>423450.58</v>
      </c>
    </row>
    <row r="103" spans="1:9" ht="64.5" customHeight="1" x14ac:dyDescent="0.25">
      <c r="A103" s="4"/>
      <c r="B103" s="55" t="s">
        <v>29</v>
      </c>
      <c r="C103" s="59"/>
      <c r="D103" s="7"/>
      <c r="E103" s="7"/>
      <c r="F103" s="7"/>
      <c r="G103" s="7"/>
    </row>
    <row r="104" spans="1:9" ht="45.75" customHeight="1" x14ac:dyDescent="0.25">
      <c r="A104" s="4"/>
      <c r="B104" s="6"/>
      <c r="C104" s="6" t="s">
        <v>58</v>
      </c>
      <c r="D104" s="7"/>
      <c r="E104" s="7">
        <f>ROUND((E20+E34+E48+E62+E76+E89+E100)*0.028,2)</f>
        <v>57959.28</v>
      </c>
      <c r="F104" s="7"/>
      <c r="G104" s="7">
        <f>ROUND((G20+G34+G48+G62+G76+G89+G100)*0.028,2)</f>
        <v>61753.21</v>
      </c>
    </row>
    <row r="105" spans="1:9" ht="73.5" customHeight="1" x14ac:dyDescent="0.25">
      <c r="A105" s="4"/>
      <c r="B105" s="55" t="s">
        <v>59</v>
      </c>
      <c r="C105" s="59"/>
      <c r="D105" s="4"/>
      <c r="E105" s="4"/>
      <c r="F105" s="4"/>
      <c r="G105" s="4"/>
    </row>
    <row r="106" spans="1:9" ht="50.25" customHeight="1" x14ac:dyDescent="0.25">
      <c r="A106" s="4"/>
      <c r="B106" s="6"/>
      <c r="C106" s="6" t="s">
        <v>57</v>
      </c>
      <c r="D106" s="7"/>
      <c r="E106" s="7">
        <f>ROUND((E20+E34+E48+E62+E76+E89+E100)*0.038,2)</f>
        <v>78659.02</v>
      </c>
      <c r="F106" s="7"/>
      <c r="G106" s="7">
        <f>ROUND((G20+G34+G48+G62+G76+G89+G100)*0.038,2)</f>
        <v>83807.929999999993</v>
      </c>
    </row>
    <row r="107" spans="1:9" ht="68.25" customHeight="1" x14ac:dyDescent="0.25">
      <c r="A107" s="4"/>
      <c r="B107" s="55" t="s">
        <v>28</v>
      </c>
      <c r="C107" s="59"/>
      <c r="D107" s="18"/>
      <c r="E107" s="7">
        <f>E20+E34+E48+E62+E76+E89+E100+E102+E104+E106</f>
        <v>2604027.5899999994</v>
      </c>
      <c r="F107" s="7"/>
      <c r="G107" s="7">
        <f>G20+G34+G48+G62+G76+G89+G100+G102+G104+G106</f>
        <v>2774483.48</v>
      </c>
    </row>
    <row r="108" spans="1:9" ht="47.25" customHeight="1" x14ac:dyDescent="0.25">
      <c r="A108" s="4"/>
      <c r="B108" s="55" t="s">
        <v>39</v>
      </c>
      <c r="C108" s="59"/>
      <c r="D108" s="21">
        <v>10</v>
      </c>
      <c r="E108" s="5">
        <f>ROUND(E107/D108,0)</f>
        <v>260403</v>
      </c>
      <c r="F108" s="21">
        <v>10</v>
      </c>
      <c r="G108" s="5">
        <f>ROUND(G107/F108,0)</f>
        <v>277448</v>
      </c>
      <c r="H108" s="22"/>
      <c r="I108" s="23"/>
    </row>
    <row r="109" spans="1:9" ht="51.75" customHeight="1" x14ac:dyDescent="0.25">
      <c r="A109" s="4"/>
      <c r="B109" s="55" t="s">
        <v>60</v>
      </c>
      <c r="C109" s="59"/>
      <c r="D109" s="13"/>
      <c r="E109" s="5">
        <f>E108</f>
        <v>260403</v>
      </c>
      <c r="F109" s="4"/>
      <c r="G109" s="5">
        <f>E109</f>
        <v>260403</v>
      </c>
    </row>
    <row r="110" spans="1:9" ht="105.75" customHeight="1" x14ac:dyDescent="0.25">
      <c r="A110" s="4"/>
      <c r="B110" s="57" t="s">
        <v>61</v>
      </c>
      <c r="C110" s="58"/>
      <c r="D110" s="3"/>
      <c r="E110" s="16">
        <f t="shared" ref="E110:G110" si="21">ROUND(E108/E109,3)</f>
        <v>1</v>
      </c>
      <c r="F110" s="3"/>
      <c r="G110" s="3">
        <f t="shared" si="21"/>
        <v>1.0649999999999999</v>
      </c>
    </row>
    <row r="111" spans="1:9" ht="110.25" customHeight="1" x14ac:dyDescent="0.25">
      <c r="A111" s="4"/>
      <c r="B111" s="45" t="s">
        <v>62</v>
      </c>
      <c r="C111" s="45"/>
      <c r="D111" s="13"/>
      <c r="E111" s="12">
        <v>3891</v>
      </c>
      <c r="F111" s="5"/>
      <c r="G111" s="5">
        <v>3891</v>
      </c>
    </row>
    <row r="112" spans="1:9" ht="48" customHeight="1" x14ac:dyDescent="0.25">
      <c r="A112" s="4"/>
      <c r="B112" s="45" t="s">
        <v>40</v>
      </c>
      <c r="C112" s="45"/>
      <c r="D112" s="13"/>
      <c r="E112" s="12">
        <f>E109+E111</f>
        <v>264294</v>
      </c>
      <c r="F112" s="5"/>
      <c r="G112" s="12">
        <f>G109+G111</f>
        <v>264294</v>
      </c>
    </row>
    <row r="113" spans="1:7" ht="101.25" customHeight="1" x14ac:dyDescent="0.25">
      <c r="A113" s="4"/>
      <c r="B113" s="69" t="s">
        <v>71</v>
      </c>
      <c r="C113" s="70"/>
      <c r="D113" s="13"/>
      <c r="E113" s="12">
        <v>3891</v>
      </c>
      <c r="F113" s="5"/>
      <c r="G113" s="12">
        <v>3891</v>
      </c>
    </row>
    <row r="114" spans="1:7" ht="56.25" customHeight="1" x14ac:dyDescent="0.25">
      <c r="A114" s="4"/>
      <c r="B114" s="45" t="s">
        <v>63</v>
      </c>
      <c r="C114" s="45"/>
      <c r="D114" s="13"/>
      <c r="E114" s="12">
        <f>E108+E113</f>
        <v>264294</v>
      </c>
      <c r="F114" s="5"/>
      <c r="G114" s="12">
        <f>G108+G113</f>
        <v>281339</v>
      </c>
    </row>
    <row r="115" spans="1:7" ht="34.5" customHeight="1" x14ac:dyDescent="0.25">
      <c r="A115" s="4"/>
      <c r="B115" s="45" t="s">
        <v>73</v>
      </c>
      <c r="C115" s="45"/>
      <c r="D115" s="13"/>
      <c r="E115" s="12">
        <v>8673</v>
      </c>
      <c r="F115" s="4"/>
      <c r="G115" s="12">
        <v>8673</v>
      </c>
    </row>
    <row r="116" spans="1:7" ht="27.75" customHeight="1" x14ac:dyDescent="0.25">
      <c r="A116" s="4"/>
      <c r="B116" s="45" t="s">
        <v>74</v>
      </c>
      <c r="C116" s="45"/>
      <c r="D116" s="13"/>
      <c r="E116" s="12">
        <f>E112+E115</f>
        <v>272967</v>
      </c>
      <c r="F116" s="4"/>
      <c r="G116" s="12">
        <f>G112+G115</f>
        <v>272967</v>
      </c>
    </row>
    <row r="117" spans="1:7" ht="45" customHeight="1" x14ac:dyDescent="0.25">
      <c r="A117" s="4"/>
      <c r="B117" s="45" t="s">
        <v>75</v>
      </c>
      <c r="C117" s="45"/>
      <c r="D117" s="13"/>
      <c r="E117" s="12">
        <f>E114+E115</f>
        <v>272967</v>
      </c>
      <c r="F117" s="4"/>
      <c r="G117" s="12">
        <f>G114+G115</f>
        <v>290012</v>
      </c>
    </row>
  </sheetData>
  <mergeCells count="21">
    <mergeCell ref="D4:E4"/>
    <mergeCell ref="F4:G4"/>
    <mergeCell ref="C2:C5"/>
    <mergeCell ref="B2:B5"/>
    <mergeCell ref="A1:G1"/>
    <mergeCell ref="D3:G3"/>
    <mergeCell ref="A2:A5"/>
    <mergeCell ref="B115:C115"/>
    <mergeCell ref="B116:C116"/>
    <mergeCell ref="B117:C117"/>
    <mergeCell ref="B114:C114"/>
    <mergeCell ref="B101:C101"/>
    <mergeCell ref="B103:C103"/>
    <mergeCell ref="B105:C105"/>
    <mergeCell ref="B107:C107"/>
    <mergeCell ref="B113:C113"/>
    <mergeCell ref="B108:C108"/>
    <mergeCell ref="B109:C109"/>
    <mergeCell ref="B110:C110"/>
    <mergeCell ref="B111:C111"/>
    <mergeCell ref="B112:C112"/>
  </mergeCells>
  <printOptions horizontalCentered="1"/>
  <pageMargins left="0" right="0" top="0.55118110236220474" bottom="0.35433070866141736" header="0" footer="0"/>
  <pageSetup paperSize="9" scale="48" orientation="landscape" r:id="rId1"/>
  <rowBreaks count="3" manualBreakCount="3">
    <brk id="29" max="6" man="1"/>
    <brk id="55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2021-02-09T12:00:25Z</dcterms:modified>
</cp:coreProperties>
</file>